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<sst xmlns="http://schemas.openxmlformats.org/spreadsheetml/2006/main" count="858" uniqueCount="251">
  <si>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</si>
  <si>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</si>
  <si>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</si>
  <si>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</si>
  <si>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</si>
  <si>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</si>
  <si>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</si>
  <si>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</si>
  <si>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</si>
  <si>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</si>
  <si>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</si>
  <si>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</si>
  <si>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</si>
  <si>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</si>
  <si>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</si>
  <si>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</si>
  <si>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</si>
  <si>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</si>
  <si>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</si>
  <si>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</si>
  <si>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</si>
  <si>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</si>
  <si>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</si>
  <si>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</si>
  <si>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</si>
  <si>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</si>
  <si>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</si>
  <si>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</si>
  <si>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</si>
  <si>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</si>
  <si>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</si>
  <si>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</si>
  <si>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</si>
  <si>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</si>
  <si>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</si>
  <si>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</si>
  <si>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</si>
  <si>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</si>
  <si>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</si>
  <si>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</si>
  <si>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</si>
  <si>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</si>
  <si>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</si>
  <si>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</si>
  <si>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</si>
  <si>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</si>
  <si>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</si>
  <si>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</si>
  <si>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</si>
  <si>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</si>
  <si>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</si>
  <si>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</si>
  <si>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</si>
  <si>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</si>
  <si>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</si>
  <si>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</si>
  <si>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</si>
  <si>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</si>
  <si>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</si>
  <si>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</si>
  <si>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</si>
  <si>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</si>
  <si>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</si>
  <si>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</si>
  <si>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</si>
  <si>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</si>
  <si>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</si>
  <si>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</si>
  <si>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</si>
  <si>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</si>
  <si>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</si>
  <si>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</si>
  <si>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</si>
  <si>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</si>
  <si>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</si>
  <si>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</si>
  <si>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</si>
  <si>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</si>
  <si>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</si>
  <si>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</si>
  <si>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</si>
  <si>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</si>
  <si>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</si>
  <si>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</si>
  <si>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</si>
  <si>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</si>
  <si>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</si>
  <si>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</si>
  <si>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</si>
  <si>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</si>
  <si>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</si>
  <si>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</si>
  <si>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</si>
  <si>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</si>
  <si>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</si>
  <si>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</si>
  <si>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</si>
  <si>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</si>
  <si>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</si>
  <si>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</si>
  <si>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</si>
  <si>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</si>
  <si>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</si>
  <si>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</si>
  <si>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</si>
  <si>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</si>
  <si>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</si>
  <si>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</si>
  <si>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</si>
  <si>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</si>
  <si>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</si>
  <si>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</si>
  <si>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</si>
  <si>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</si>
  <si>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</si>
  <si>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</si>
  <si>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</si>
  <si>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</si>
  <si>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</si>
  <si>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</si>
  <si>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</si>
  <si>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</si>
  <si>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</si>
  <si>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</si>
  <si>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</si>
  <si>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</si>
  <si>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</si>
  <si>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</si>
  <si>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</si>
  <si>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</si>
  <si>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</si>
  <si>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</si>
  <si>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</si>
  <si>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</si>
  <si>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</si>
  <si>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</si>
  <si>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</si>
  <si>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</si>
  <si>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</si>
  <si>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</si>
  <si>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</si>
  <si>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</si>
  <si>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</si>
  <si>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</si>
  <si>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</si>
  <si>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</si>
  <si>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</si>
  <si>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</si>
  <si>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</si>
  <si>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</si>
  <si>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</si>
  <si>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</si>
  <si>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</si>
  <si>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</si>
  <si>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</si>
  <si>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</si>
  <si>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</si>
  <si>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</si>
  <si>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</si>
  <si>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</si>
  <si>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</si>
  <si>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</si>
  <si>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</si>
  <si>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</si>
  <si>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</si>
  <si>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</si>
  <si>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</si>
  <si>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</si>
  <si>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</si>
  <si>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</si>
  <si>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</si>
  <si>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</si>
  <si>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</si>
  <si>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</si>
  <si>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</si>
  <si>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</si>
  <si>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</si>
  <si>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</si>
  <si>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</si>
  <si>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</si>
  <si>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</si>
  <si>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</si>
  <si>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</si>
  <si>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</si>
  <si>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</si>
  <si>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</si>
  <si>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</si>
  <si>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</si>
  <si>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</si>
  <si>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</si>
  <si>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</si>
  <si>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</si>
  <si>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</si>
  <si>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</si>
  <si>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</si>
  <si>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</si>
  <si>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</si>
  <si>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</si>
  <si>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</si>
  <si>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</si>
  <si>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</si>
  <si>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</si>
  <si>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</si>
  <si>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</si>
  <si>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</si>
  <si>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</si>
  <si>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</si>
  <si>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</si>
  <si>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</si>
  <si>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</si>
  <si>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</si>
  <si>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</si>
  <si>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</si>
  <si>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</si>
  <si>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</si>
  <si>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</si>
  <si>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</si>
  <si>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</si>
  <si>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</si>
  <si>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</si>
  <si>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</si>
  <si>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</si>
  <si>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</si>
  <si>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</si>
  <si>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</si>
  <si>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</si>
  <si>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</si>
  <si>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</si>
  <si>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</si>
  <si>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</si>
  <si>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</si>
  <si>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</si>
  <si>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</si>
  <si>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</si>
  <si>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</si>
  <si>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</si>
  <si>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</si>
  <si>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</si>
  <si>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</si>
  <si>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</si>
  <si>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</si>
  <si>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</si>
  <si>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</si>
  <si>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</si>
  <si>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</si>
  <si>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</si>
  <si>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</si>
  <si>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</si>
  <si>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</si>
  <si>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15.04.15 </t>
    </r>
    <r>
      <rPr>
        <b/>
        <sz val="10"/>
        <rFont val="Times New Roman"/>
        <family val="1"/>
      </rPr>
      <t>включно</t>
    </r>
  </si>
  <si>
    <t>Податок з власників наземних транспортних засобів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</si>
</sst>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2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1" sqref="H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5" t="s">
        <v>248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17"/>
      <c r="R1" s="118"/>
    </row>
    <row r="2" spans="2:18" s="1" customFormat="1" ht="15.75" customHeight="1">
      <c r="B2" s="216"/>
      <c r="C2" s="216"/>
      <c r="D2" s="21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4"/>
      <c r="B3" s="182"/>
      <c r="C3" s="183" t="s">
        <v>0</v>
      </c>
      <c r="D3" s="217" t="s">
        <v>216</v>
      </c>
      <c r="E3" s="40"/>
      <c r="F3" s="218" t="s">
        <v>107</v>
      </c>
      <c r="G3" s="219"/>
      <c r="H3" s="219"/>
      <c r="I3" s="219"/>
      <c r="J3" s="220"/>
      <c r="K3" s="114"/>
      <c r="L3" s="114"/>
      <c r="M3" s="221" t="s">
        <v>240</v>
      </c>
      <c r="N3" s="222" t="s">
        <v>241</v>
      </c>
      <c r="O3" s="222"/>
      <c r="P3" s="222"/>
      <c r="Q3" s="222"/>
      <c r="R3" s="222"/>
    </row>
    <row r="4" spans="1:18" ht="22.5" customHeight="1">
      <c r="A4" s="184"/>
      <c r="B4" s="182"/>
      <c r="C4" s="183"/>
      <c r="D4" s="217"/>
      <c r="E4" s="223" t="s">
        <v>237</v>
      </c>
      <c r="F4" s="209" t="s">
        <v>116</v>
      </c>
      <c r="G4" s="211" t="s">
        <v>238</v>
      </c>
      <c r="H4" s="213" t="s">
        <v>239</v>
      </c>
      <c r="I4" s="206" t="s">
        <v>217</v>
      </c>
      <c r="J4" s="202" t="s">
        <v>218</v>
      </c>
      <c r="K4" s="116" t="s">
        <v>172</v>
      </c>
      <c r="L4" s="121" t="s">
        <v>171</v>
      </c>
      <c r="M4" s="202"/>
      <c r="N4" s="204" t="s">
        <v>249</v>
      </c>
      <c r="O4" s="206" t="s">
        <v>136</v>
      </c>
      <c r="P4" s="208" t="s">
        <v>135</v>
      </c>
      <c r="Q4" s="122" t="s">
        <v>172</v>
      </c>
      <c r="R4" s="123" t="s">
        <v>171</v>
      </c>
    </row>
    <row r="5" spans="1:19" ht="92.25" customHeight="1">
      <c r="A5" s="185"/>
      <c r="B5" s="182"/>
      <c r="C5" s="183"/>
      <c r="D5" s="217"/>
      <c r="E5" s="224"/>
      <c r="F5" s="210"/>
      <c r="G5" s="212"/>
      <c r="H5" s="214"/>
      <c r="I5" s="207"/>
      <c r="J5" s="203"/>
      <c r="K5" s="199" t="s">
        <v>242</v>
      </c>
      <c r="L5" s="200"/>
      <c r="M5" s="203"/>
      <c r="N5" s="205"/>
      <c r="O5" s="207"/>
      <c r="P5" s="208"/>
      <c r="Q5" s="199" t="s">
        <v>176</v>
      </c>
      <c r="R5" s="20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D10+D19+D31+D34+D35+D43+D30</f>
        <v>517429</v>
      </c>
      <c r="E8" s="18">
        <f>E10+E19+E31+E34+E35+E43+E30</f>
        <v>177394.93</v>
      </c>
      <c r="F8" s="18">
        <f>F10+F19+F31+F34+F35+F43+F30</f>
        <v>158918.41999999998</v>
      </c>
      <c r="G8" s="18">
        <f aca="true" t="shared" si="0" ref="G8:G43">F8-E8</f>
        <v>-18476.51000000001</v>
      </c>
      <c r="H8" s="45">
        <f>F8/E8*100</f>
        <v>89.58453322200359</v>
      </c>
      <c r="I8" s="31">
        <f aca="true" t="shared" si="1" ref="I8:I43">F8-D8</f>
        <v>-358510.58</v>
      </c>
      <c r="J8" s="31">
        <f aca="true" t="shared" si="2" ref="J8:J14">F8/D8*100</f>
        <v>30.713087206167412</v>
      </c>
      <c r="K8" s="18">
        <f>K10+K19+K31+K34+K35+K43</f>
        <v>7273.3499999999985</v>
      </c>
      <c r="L8" s="18"/>
      <c r="M8" s="18">
        <f>M10+M19+M31+M34+M35+M43+M30</f>
        <v>41736.35</v>
      </c>
      <c r="N8" s="18">
        <f>N10+N19+N31+N34+N35+N43+N30</f>
        <v>19435.639999999996</v>
      </c>
      <c r="O8" s="31">
        <f aca="true" t="shared" si="3" ref="O8:O46">N8-M8</f>
        <v>-22300.710000000003</v>
      </c>
      <c r="P8" s="31">
        <f>F8/M8*100</f>
        <v>380.7674125792025</v>
      </c>
      <c r="Q8" s="31">
        <f>N8-33748.16</f>
        <v>-14312.520000000008</v>
      </c>
      <c r="R8" s="125">
        <f>N8/33748.16</f>
        <v>0.5759022121502326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93252.04</v>
      </c>
      <c r="G9" s="18">
        <f t="shared" si="0"/>
        <v>93252.04</v>
      </c>
      <c r="H9" s="16"/>
      <c r="I9" s="50">
        <f t="shared" si="1"/>
        <v>-219437.96000000002</v>
      </c>
      <c r="J9" s="50">
        <f t="shared" si="2"/>
        <v>29.822520707409893</v>
      </c>
      <c r="K9" s="50"/>
      <c r="L9" s="50"/>
      <c r="M9" s="16">
        <f>M10+M17</f>
        <v>25134</v>
      </c>
      <c r="N9" s="16">
        <f>N10+N17</f>
        <v>14814.539999999994</v>
      </c>
      <c r="O9" s="31">
        <f t="shared" si="3"/>
        <v>-10319.460000000006</v>
      </c>
      <c r="P9" s="50">
        <f>F9/M9*100</f>
        <v>371.019495504098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93252.04</v>
      </c>
      <c r="G10" s="43">
        <f t="shared" si="0"/>
        <v>-8395.940000000002</v>
      </c>
      <c r="H10" s="35">
        <f aca="true" t="shared" si="4" ref="H10:H43">F10/E10*100</f>
        <v>91.7401801786912</v>
      </c>
      <c r="I10" s="50">
        <f t="shared" si="1"/>
        <v>-219437.96000000002</v>
      </c>
      <c r="J10" s="50">
        <f t="shared" si="2"/>
        <v>29.822520707409893</v>
      </c>
      <c r="K10" s="132">
        <f>F10-117120.15/75*60</f>
        <v>-444.08000000000175</v>
      </c>
      <c r="L10" s="132">
        <f>F10/(117120.15/75*60)*100</f>
        <v>99.5260422736822</v>
      </c>
      <c r="M10" s="35">
        <f>E10-березень!E10</f>
        <v>25134</v>
      </c>
      <c r="N10" s="35">
        <f>F10-березень!F10</f>
        <v>14814.539999999994</v>
      </c>
      <c r="O10" s="47">
        <f t="shared" si="3"/>
        <v>-10319.460000000006</v>
      </c>
      <c r="P10" s="50">
        <f aca="true" t="shared" si="5" ref="P10:P43">N10/M10*100</f>
        <v>58.9422296490809</v>
      </c>
      <c r="Q10" s="132">
        <f>N10-26568.11</f>
        <v>-11753.570000000007</v>
      </c>
      <c r="R10" s="133">
        <f>N10/26568.11</f>
        <v>0.5576060924168107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E11-березень!E11</f>
        <v>0</v>
      </c>
      <c r="N11" s="35">
        <f>F11-березень!F11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E12-березень!E12</f>
        <v>0</v>
      </c>
      <c r="N12" s="35">
        <f>F12-березень!F12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E13-березень!E13</f>
        <v>0</v>
      </c>
      <c r="N13" s="35">
        <f>F13-березень!F13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E14-березень!E14</f>
        <v>0</v>
      </c>
      <c r="N14" s="35">
        <f>F14-березень!F14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E15-березень!E15</f>
        <v>0</v>
      </c>
      <c r="N15" s="35">
        <f>F15-березень!F15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-1008.06</v>
      </c>
      <c r="G19" s="43">
        <f t="shared" si="0"/>
        <v>-1179.26</v>
      </c>
      <c r="H19" s="35"/>
      <c r="I19" s="50">
        <f t="shared" si="1"/>
        <v>-1508.06</v>
      </c>
      <c r="J19" s="50">
        <f aca="true" t="shared" si="6" ref="J19:J31">F19/D19*100</f>
        <v>-201.612</v>
      </c>
      <c r="K19" s="50">
        <f>F19-552.92</f>
        <v>-1560.98</v>
      </c>
      <c r="L19" s="50">
        <f>F19/552.92*100</f>
        <v>-182.31570570787818</v>
      </c>
      <c r="M19" s="35">
        <f>E19-березень!E19</f>
        <v>0</v>
      </c>
      <c r="N19" s="35">
        <f>F19-березень!F19</f>
        <v>11.82000000000005</v>
      </c>
      <c r="O19" s="47">
        <f t="shared" si="3"/>
        <v>11.82000000000005</v>
      </c>
      <c r="P19" s="50"/>
      <c r="Q19" s="50">
        <f>N19-358.81</f>
        <v>-346.98999999999995</v>
      </c>
      <c r="R19" s="126">
        <f>N19/358.81</f>
        <v>0.032942225690476994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F29-783.18</f>
        <v>-2200.36</v>
      </c>
      <c r="L29" s="136">
        <f>F29/783.18*100</f>
        <v>-180.95201613932943</v>
      </c>
      <c r="M29" s="35">
        <f>E29-березень!E29</f>
        <v>0</v>
      </c>
      <c r="N29" s="35">
        <f>F29-березень!F29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10141.67</v>
      </c>
      <c r="G34" s="43">
        <f t="shared" si="0"/>
        <v>-2521.08</v>
      </c>
      <c r="H34" s="35">
        <f t="shared" si="4"/>
        <v>80.09058064006634</v>
      </c>
      <c r="I34" s="50">
        <f t="shared" si="1"/>
        <v>-19808.33</v>
      </c>
      <c r="J34" s="178">
        <f>F34/D34*100</f>
        <v>33.86200333889816</v>
      </c>
      <c r="K34" s="179">
        <f>F34-0</f>
        <v>10141.67</v>
      </c>
      <c r="L34" s="180"/>
      <c r="M34" s="35">
        <f>E34-березень!E33</f>
        <v>2722.75</v>
      </c>
      <c r="N34" s="35">
        <f>F34-березень!F33</f>
        <v>71.19000000000051</v>
      </c>
      <c r="O34" s="47">
        <f t="shared" si="3"/>
        <v>-2651.5599999999995</v>
      </c>
      <c r="P34" s="50">
        <f t="shared" si="5"/>
        <v>2.61463593793042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54468.329999999994</v>
      </c>
      <c r="G35" s="43">
        <f t="shared" si="0"/>
        <v>-6437.1700000000055</v>
      </c>
      <c r="H35" s="35">
        <f t="shared" si="4"/>
        <v>89.43088883598361</v>
      </c>
      <c r="I35" s="50">
        <f t="shared" si="1"/>
        <v>-112301.67000000001</v>
      </c>
      <c r="J35" s="178">
        <f aca="true" t="shared" si="11" ref="J35:J43">F35/D35*100</f>
        <v>32.66074833603166</v>
      </c>
      <c r="K35" s="178">
        <f>K36+K40+K41+K42</f>
        <v>-306.2700000000009</v>
      </c>
      <c r="L35" s="136"/>
      <c r="M35" s="35">
        <f>E35-березень!E34</f>
        <v>13870.5</v>
      </c>
      <c r="N35" s="35">
        <f>F35-березень!F34</f>
        <v>4489.3499999999985</v>
      </c>
      <c r="O35" s="47">
        <f t="shared" si="3"/>
        <v>-9381.150000000001</v>
      </c>
      <c r="P35" s="50">
        <f t="shared" si="5"/>
        <v>32.366172812804145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26261.25</v>
      </c>
      <c r="G36" s="43">
        <f t="shared" si="0"/>
        <v>-5591.75</v>
      </c>
      <c r="H36" s="35">
        <f t="shared" si="4"/>
        <v>82.44513860546887</v>
      </c>
      <c r="I36" s="50">
        <f t="shared" si="1"/>
        <v>-71938.75</v>
      </c>
      <c r="J36" s="178">
        <f t="shared" si="11"/>
        <v>26.742617107942973</v>
      </c>
      <c r="K36" s="178">
        <f>K37+K38+K39</f>
        <v>215.97000000000116</v>
      </c>
      <c r="L36" s="136"/>
      <c r="M36" s="35">
        <f>E36-березень!E35</f>
        <v>8066</v>
      </c>
      <c r="N36" s="35">
        <f>F36-березень!F35</f>
        <v>1650.9900000000016</v>
      </c>
      <c r="O36" s="47">
        <f t="shared" si="3"/>
        <v>-6415.009999999998</v>
      </c>
      <c r="P36" s="50">
        <f t="shared" si="5"/>
        <v>20.468509794197885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978.11</v>
      </c>
      <c r="G37" s="135">
        <f t="shared" si="0"/>
        <v>707.11</v>
      </c>
      <c r="H37" s="137">
        <f t="shared" si="4"/>
        <v>360.9261992619926</v>
      </c>
      <c r="I37" s="136">
        <f t="shared" si="1"/>
        <v>-21.889999999999986</v>
      </c>
      <c r="J37" s="136">
        <f t="shared" si="11"/>
        <v>97.811</v>
      </c>
      <c r="K37" s="136">
        <f>F37-127.86</f>
        <v>850.25</v>
      </c>
      <c r="L37" s="136">
        <f>F37/127.86*100</f>
        <v>764.9851399968716</v>
      </c>
      <c r="M37" s="35">
        <f>E37-березень!E36</f>
        <v>161</v>
      </c>
      <c r="N37" s="35">
        <f>F37-березень!F36</f>
        <v>451.83000000000004</v>
      </c>
      <c r="O37" s="47">
        <f t="shared" si="3"/>
        <v>290.83000000000004</v>
      </c>
      <c r="P37" s="50">
        <f t="shared" si="5"/>
        <v>280.6397515527951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50</v>
      </c>
      <c r="G38" s="135">
        <f t="shared" si="0"/>
        <v>-200</v>
      </c>
      <c r="H38" s="137"/>
      <c r="I38" s="136">
        <f t="shared" si="1"/>
        <v>-1450</v>
      </c>
      <c r="J38" s="136">
        <f t="shared" si="11"/>
        <v>3.3333333333333335</v>
      </c>
      <c r="K38" s="136">
        <f>F38-0</f>
        <v>50</v>
      </c>
      <c r="L38" s="136"/>
      <c r="M38" s="35">
        <f>E38-березень!E37</f>
        <v>250</v>
      </c>
      <c r="N38" s="35">
        <f>F38-березень!F37</f>
        <v>12.299999999999997</v>
      </c>
      <c r="O38" s="47">
        <f t="shared" si="3"/>
        <v>-237.7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25233.14</v>
      </c>
      <c r="G39" s="135">
        <f t="shared" si="0"/>
        <v>-6098.860000000001</v>
      </c>
      <c r="H39" s="137">
        <f t="shared" si="4"/>
        <v>80.53472488190987</v>
      </c>
      <c r="I39" s="136">
        <f t="shared" si="1"/>
        <v>-70466.86</v>
      </c>
      <c r="J39" s="136">
        <f t="shared" si="11"/>
        <v>26.366917450365722</v>
      </c>
      <c r="K39" s="139">
        <f>F39-25917.42</f>
        <v>-684.2799999999988</v>
      </c>
      <c r="L39" s="139">
        <f>F39/25917.42*100</f>
        <v>97.35976806333348</v>
      </c>
      <c r="M39" s="35">
        <f>E39-березень!E38</f>
        <v>7655</v>
      </c>
      <c r="N39" s="35">
        <f>F39-березень!F38</f>
        <v>1186.8600000000006</v>
      </c>
      <c r="O39" s="47">
        <f t="shared" si="3"/>
        <v>-6468.139999999999</v>
      </c>
      <c r="P39" s="50">
        <f t="shared" si="5"/>
        <v>15.504376224689754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17.62</v>
      </c>
      <c r="G40" s="43">
        <f t="shared" si="0"/>
        <v>5.120000000000001</v>
      </c>
      <c r="H40" s="35">
        <f t="shared" si="4"/>
        <v>140.96</v>
      </c>
      <c r="I40" s="50">
        <f t="shared" si="1"/>
        <v>-52.379999999999995</v>
      </c>
      <c r="J40" s="178">
        <f t="shared" si="11"/>
        <v>25.17142857142857</v>
      </c>
      <c r="K40" s="178">
        <f>F40-22.12</f>
        <v>-4.5</v>
      </c>
      <c r="L40" s="178">
        <f>F40/22.12*100</f>
        <v>79.65641952983725</v>
      </c>
      <c r="M40" s="35">
        <f>E40-березень!E39</f>
        <v>4.5</v>
      </c>
      <c r="N40" s="35">
        <f>F40-березень!F39</f>
        <v>0</v>
      </c>
      <c r="O40" s="47">
        <f t="shared" si="3"/>
        <v>-4.5</v>
      </c>
      <c r="P40" s="50">
        <f t="shared" si="5"/>
        <v>0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-15.21</v>
      </c>
      <c r="G41" s="43">
        <f t="shared" si="0"/>
        <v>-15.21</v>
      </c>
      <c r="H41" s="35"/>
      <c r="I41" s="50">
        <f t="shared" si="1"/>
        <v>-15.21</v>
      </c>
      <c r="J41" s="136"/>
      <c r="K41" s="178">
        <f>F41-2145.36</f>
        <v>-2160.57</v>
      </c>
      <c r="L41" s="178">
        <f>F41/2145.36*100</f>
        <v>-0.7089719207965097</v>
      </c>
      <c r="M41" s="35">
        <f>E41-березень!E40</f>
        <v>0</v>
      </c>
      <c r="N41" s="35">
        <f>F41-березень!F40</f>
        <v>-28.1</v>
      </c>
      <c r="O41" s="47">
        <f t="shared" si="3"/>
        <v>-28.1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28204.67</v>
      </c>
      <c r="G42" s="43">
        <f t="shared" si="0"/>
        <v>-835.3300000000017</v>
      </c>
      <c r="H42" s="35">
        <f t="shared" si="4"/>
        <v>97.12351928374655</v>
      </c>
      <c r="I42" s="50">
        <f t="shared" si="1"/>
        <v>-40295.33</v>
      </c>
      <c r="J42" s="178">
        <f t="shared" si="11"/>
        <v>41.174700729927004</v>
      </c>
      <c r="K42" s="132">
        <f>F42-26561.84</f>
        <v>1642.829999999998</v>
      </c>
      <c r="L42" s="132">
        <f>F42/26561.84*100</f>
        <v>106.18492544191216</v>
      </c>
      <c r="M42" s="35">
        <f>E42-березень!E41</f>
        <v>5800</v>
      </c>
      <c r="N42" s="35">
        <f>F42-березень!F41</f>
        <v>2866.459999999999</v>
      </c>
      <c r="O42" s="47">
        <f t="shared" si="3"/>
        <v>-2933.540000000001</v>
      </c>
      <c r="P42" s="50">
        <f t="shared" si="5"/>
        <v>49.421724137931015</v>
      </c>
      <c r="Q42" s="139"/>
      <c r="R42" s="140"/>
    </row>
    <row r="43" spans="1:18" s="6" customFormat="1" ht="15.75">
      <c r="A43" s="8"/>
      <c r="B43" s="60" t="s">
        <v>132</v>
      </c>
      <c r="C43" s="59">
        <v>19010000</v>
      </c>
      <c r="D43" s="43">
        <v>7500</v>
      </c>
      <c r="E43" s="43">
        <v>1994.5</v>
      </c>
      <c r="F43" s="168">
        <v>2048.55</v>
      </c>
      <c r="G43" s="43">
        <f t="shared" si="0"/>
        <v>54.05000000000018</v>
      </c>
      <c r="H43" s="35">
        <f t="shared" si="4"/>
        <v>102.70995236901479</v>
      </c>
      <c r="I43" s="50">
        <f t="shared" si="1"/>
        <v>-5451.45</v>
      </c>
      <c r="J43" s="136">
        <f t="shared" si="11"/>
        <v>27.314000000000004</v>
      </c>
      <c r="K43" s="178">
        <f>F43-2618.43</f>
        <v>-569.8799999999997</v>
      </c>
      <c r="L43" s="178">
        <f>F43/2618.43*100</f>
        <v>78.23581306355337</v>
      </c>
      <c r="M43" s="35">
        <f>E43-березень!E42</f>
        <v>9.099999999999909</v>
      </c>
      <c r="N43" s="35">
        <f>F43-березень!F42</f>
        <v>48.65000000000009</v>
      </c>
      <c r="O43" s="47">
        <f t="shared" si="3"/>
        <v>39.55000000000018</v>
      </c>
      <c r="P43" s="50">
        <f t="shared" si="5"/>
        <v>534.615384615391</v>
      </c>
      <c r="Q43" s="139"/>
      <c r="R43" s="140"/>
    </row>
    <row r="44" spans="1:18" s="6" customFormat="1" ht="47.25" customHeight="1" hidden="1">
      <c r="A44" s="8"/>
      <c r="B44" s="14" t="s">
        <v>66</v>
      </c>
      <c r="C44" s="83">
        <v>16040100</v>
      </c>
      <c r="D44" s="16"/>
      <c r="E44" s="16"/>
      <c r="F44" s="143"/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38" t="s">
        <v>67</v>
      </c>
      <c r="C45" s="82">
        <v>16050000</v>
      </c>
      <c r="D45" s="16">
        <v>0</v>
      </c>
      <c r="E45" s="16"/>
      <c r="F45" s="152">
        <v>0</v>
      </c>
      <c r="G45" s="43">
        <f>F45-E45</f>
        <v>0</v>
      </c>
      <c r="H45" s="35" t="e">
        <f>F45/E45*100</f>
        <v>#DIV/0!</v>
      </c>
      <c r="I45" s="50">
        <f>F45-D45</f>
        <v>0</v>
      </c>
      <c r="J45" s="50" t="e">
        <f>F45/D45*100</f>
        <v>#DIV/0!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N45/M45*100</f>
        <v>#REF!</v>
      </c>
      <c r="Q45" s="50"/>
      <c r="R45" s="126"/>
    </row>
    <row r="46" spans="1:18" s="6" customFormat="1" ht="31.5" hidden="1">
      <c r="A46" s="8"/>
      <c r="B46" s="15" t="s">
        <v>68</v>
      </c>
      <c r="C46" s="83">
        <v>16050100</v>
      </c>
      <c r="D46" s="16">
        <v>4590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-4590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8"/>
      <c r="B47" s="15" t="s">
        <v>69</v>
      </c>
      <c r="C47" s="83">
        <v>16050200</v>
      </c>
      <c r="D47" s="16">
        <v>4410</v>
      </c>
      <c r="E47" s="16"/>
      <c r="F47" s="143"/>
      <c r="G47" s="43">
        <f>F47-E47</f>
        <v>0</v>
      </c>
      <c r="H47" s="35" t="e">
        <f>F47/E47*100</f>
        <v>#DIV/0!</v>
      </c>
      <c r="I47" s="50">
        <f>F47-D47</f>
        <v>-4410</v>
      </c>
      <c r="J47" s="50">
        <f>F47/D47*100</f>
        <v>0</v>
      </c>
      <c r="K47" s="50"/>
      <c r="L47" s="50"/>
      <c r="M47" s="35" t="e">
        <f>E47-#REF!</f>
        <v>#REF!</v>
      </c>
      <c r="N47" s="35" t="e">
        <f>F47-#REF!</f>
        <v>#REF!</v>
      </c>
      <c r="O47" s="47" t="e">
        <f>N47-M47</f>
        <v>#REF!</v>
      </c>
      <c r="P47" s="50" t="e">
        <f>F47/M47*100</f>
        <v>#REF!</v>
      </c>
      <c r="Q47" s="50"/>
      <c r="R47" s="126"/>
    </row>
    <row r="48" spans="1:18" s="6" customFormat="1" ht="31.5" hidden="1">
      <c r="A48" s="7"/>
      <c r="B48" s="15" t="s">
        <v>67</v>
      </c>
      <c r="C48" s="83">
        <v>16050000</v>
      </c>
      <c r="D48" s="16"/>
      <c r="E48" s="16"/>
      <c r="F48" s="143">
        <v>0</v>
      </c>
      <c r="G48" s="43"/>
      <c r="H48" s="35"/>
      <c r="I48" s="50"/>
      <c r="J48" s="50"/>
      <c r="K48" s="50"/>
      <c r="L48" s="50"/>
      <c r="M48" s="35" t="e">
        <f>E48-#REF!</f>
        <v>#REF!</v>
      </c>
      <c r="N48" s="35" t="e">
        <f>F48-#REF!</f>
        <v>#REF!</v>
      </c>
      <c r="O48" s="47"/>
      <c r="P48" s="50"/>
      <c r="Q48" s="50"/>
      <c r="R48" s="126"/>
    </row>
    <row r="49" spans="1:18" s="6" customFormat="1" ht="18.75">
      <c r="A49" s="7"/>
      <c r="B49" s="19" t="s">
        <v>70</v>
      </c>
      <c r="C49" s="93">
        <v>20000000</v>
      </c>
      <c r="D49" s="18">
        <f>D52+D53+D54+D55+D56+D64+D65+D66+D68+D72+D63+D62</f>
        <v>12567.1</v>
      </c>
      <c r="E49" s="18">
        <f>E52+E53+E54+E55+E56+E64+E65+E66+E68+E72+E63+E62</f>
        <v>4088.5</v>
      </c>
      <c r="F49" s="18">
        <f>F52+F53+F54+F55+F56+F64+F65+F66+F68+F72+F63+F62</f>
        <v>9372.14</v>
      </c>
      <c r="G49" s="44">
        <f aca="true" t="shared" si="12" ref="G49:G74">F49-E49</f>
        <v>5283.639999999999</v>
      </c>
      <c r="H49" s="45">
        <f>F49/E49*100</f>
        <v>229.23174758468875</v>
      </c>
      <c r="I49" s="31">
        <f aca="true" t="shared" si="13" ref="I49:I74">F49-D49</f>
        <v>-3194.960000000001</v>
      </c>
      <c r="J49" s="31">
        <f aca="true" t="shared" si="14" ref="J49:J59">F49/D49*100</f>
        <v>74.57679178171574</v>
      </c>
      <c r="K49" s="18">
        <f>K52+K53+K54+K55+K56+K64+K65+K66+K68+K72+K63</f>
        <v>5184.82</v>
      </c>
      <c r="L49" s="18"/>
      <c r="M49" s="18">
        <f>M52+M53+M54+M55+M56+M64+M65+M66+M68+M72+M63+M62</f>
        <v>1052.5</v>
      </c>
      <c r="N49" s="18">
        <f>N52+N53+N54+N55+N56+N64+N65+N66+N68+N72+N63+N62</f>
        <v>1722.8599999999997</v>
      </c>
      <c r="O49" s="49">
        <f aca="true" t="shared" si="15" ref="O49:O74">N49-M49</f>
        <v>670.3599999999997</v>
      </c>
      <c r="P49" s="31">
        <f>N49/M49*100</f>
        <v>163.69216152018998</v>
      </c>
      <c r="Q49" s="31">
        <f>N49-1017.63</f>
        <v>705.2299999999997</v>
      </c>
      <c r="R49" s="127">
        <f>N49/1017.63</f>
        <v>1.6930121950021124</v>
      </c>
    </row>
    <row r="50" spans="1:18" s="6" customFormat="1" ht="31.5" hidden="1">
      <c r="A50" s="8"/>
      <c r="B50" s="11" t="s">
        <v>71</v>
      </c>
      <c r="C50" s="81">
        <v>21000000</v>
      </c>
      <c r="D50" s="16" t="e">
        <f>D52+#REF!</f>
        <v>#REF!</v>
      </c>
      <c r="E50" s="16"/>
      <c r="F50" s="153" t="e">
        <f>SUM(F51:F52)+SUM(#REF!)</f>
        <v>#REF!</v>
      </c>
      <c r="G50" s="43" t="e">
        <f t="shared" si="12"/>
        <v>#REF!</v>
      </c>
      <c r="H50" s="35" t="e">
        <f>F50/E50*100</f>
        <v>#REF!</v>
      </c>
      <c r="I50" s="50" t="e">
        <f t="shared" si="13"/>
        <v>#REF!</v>
      </c>
      <c r="J50" s="50" t="e">
        <f t="shared" si="14"/>
        <v>#REF!</v>
      </c>
      <c r="K50" s="50"/>
      <c r="L50" s="50"/>
      <c r="M50" s="51" t="e">
        <f>SUM(M51:M52)+SUM(#REF!)</f>
        <v>#REF!</v>
      </c>
      <c r="N50" s="51" t="e">
        <f>SUM(N51:N52)+SUM(#REF!)</f>
        <v>#REF!</v>
      </c>
      <c r="O50" s="47" t="e">
        <f t="shared" si="15"/>
        <v>#REF!</v>
      </c>
      <c r="P50" s="50" t="e">
        <f>F50/M50*100</f>
        <v>#REF!</v>
      </c>
      <c r="Q50" s="50"/>
      <c r="R50" s="126"/>
    </row>
    <row r="51" spans="1:18" s="6" customFormat="1" ht="15.75" hidden="1">
      <c r="A51" s="8"/>
      <c r="B51" s="12" t="s">
        <v>72</v>
      </c>
      <c r="C51" s="82">
        <v>21030000</v>
      </c>
      <c r="D51" s="16" t="e">
        <f>#REF!*0.001</f>
        <v>#REF!</v>
      </c>
      <c r="E51" s="16"/>
      <c r="F51" s="154"/>
      <c r="G51" s="43">
        <f t="shared" si="12"/>
        <v>0</v>
      </c>
      <c r="H51" s="35" t="e">
        <f>F51/E51*100</f>
        <v>#DIV/0!</v>
      </c>
      <c r="I51" s="50" t="e">
        <f t="shared" si="13"/>
        <v>#REF!</v>
      </c>
      <c r="J51" s="50" t="e">
        <f t="shared" si="14"/>
        <v>#REF!</v>
      </c>
      <c r="K51" s="50"/>
      <c r="L51" s="50"/>
      <c r="M51" s="52"/>
      <c r="N51" s="52"/>
      <c r="O51" s="47">
        <f t="shared" si="15"/>
        <v>0</v>
      </c>
      <c r="P51" s="50" t="e">
        <f>F51/M51*100</f>
        <v>#DIV/0!</v>
      </c>
      <c r="Q51" s="50"/>
      <c r="R51" s="126"/>
    </row>
    <row r="52" spans="1:18" s="6" customFormat="1" ht="47.25">
      <c r="A52" s="8"/>
      <c r="B52" s="60" t="s">
        <v>106</v>
      </c>
      <c r="C52" s="59">
        <v>21010301</v>
      </c>
      <c r="D52" s="36">
        <v>200</v>
      </c>
      <c r="E52" s="36">
        <v>45</v>
      </c>
      <c r="F52" s="143">
        <v>133.98</v>
      </c>
      <c r="G52" s="43">
        <f t="shared" si="12"/>
        <v>88.97999999999999</v>
      </c>
      <c r="H52" s="35">
        <f>F52/E52*100</f>
        <v>297.7333333333333</v>
      </c>
      <c r="I52" s="50">
        <f t="shared" si="13"/>
        <v>-66.02000000000001</v>
      </c>
      <c r="J52" s="50">
        <f t="shared" si="14"/>
        <v>66.99</v>
      </c>
      <c r="K52" s="50">
        <f>F52-21.87</f>
        <v>112.10999999999999</v>
      </c>
      <c r="L52" s="50">
        <f>F52/21.87*100</f>
        <v>612.6200274348422</v>
      </c>
      <c r="M52" s="35">
        <f>E52-березень!E51</f>
        <v>10</v>
      </c>
      <c r="N52" s="35">
        <f>F52-березень!F51</f>
        <v>137.67</v>
      </c>
      <c r="O52" s="47">
        <f t="shared" si="15"/>
        <v>127.66999999999999</v>
      </c>
      <c r="P52" s="50">
        <f>N52/M52*100</f>
        <v>1376.7</v>
      </c>
      <c r="Q52" s="50">
        <f>N52-0</f>
        <v>137.67</v>
      </c>
      <c r="R52" s="126" t="e">
        <f>N52/0</f>
        <v>#DIV/0!</v>
      </c>
    </row>
    <row r="53" spans="1:18" s="6" customFormat="1" ht="31.5" hidden="1">
      <c r="A53" s="8"/>
      <c r="B53" s="68" t="s">
        <v>214</v>
      </c>
      <c r="C53" s="57">
        <v>21050000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/>
      <c r="I53" s="50">
        <f t="shared" si="13"/>
        <v>0</v>
      </c>
      <c r="J53" s="50"/>
      <c r="K53" s="50">
        <f>F53-0</f>
        <v>0</v>
      </c>
      <c r="L53" s="50" t="e">
        <f>F53/0*100</f>
        <v>#DIV/0!</v>
      </c>
      <c r="M53" s="35">
        <f>E53-березень!E60</f>
        <v>0</v>
      </c>
      <c r="N53" s="35">
        <f>F53-березень!F60</f>
        <v>0</v>
      </c>
      <c r="O53" s="47">
        <f t="shared" si="15"/>
        <v>0</v>
      </c>
      <c r="P53" s="50"/>
      <c r="Q53" s="50">
        <f>N53-0</f>
        <v>0</v>
      </c>
      <c r="R53" s="126" t="e">
        <f>N53/0</f>
        <v>#DIV/0!</v>
      </c>
    </row>
    <row r="54" spans="1:18" s="6" customFormat="1" ht="15.75">
      <c r="A54" s="8"/>
      <c r="B54" s="68" t="s">
        <v>169</v>
      </c>
      <c r="C54" s="57">
        <v>21080500</v>
      </c>
      <c r="D54" s="36"/>
      <c r="E54" s="36"/>
      <c r="F54" s="143">
        <v>6.5</v>
      </c>
      <c r="G54" s="43">
        <f t="shared" si="12"/>
        <v>6.5</v>
      </c>
      <c r="H54" s="35"/>
      <c r="I54" s="50">
        <f t="shared" si="13"/>
        <v>6.5</v>
      </c>
      <c r="J54" s="50"/>
      <c r="K54" s="50">
        <f>F54-212.16</f>
        <v>-205.66</v>
      </c>
      <c r="L54" s="50">
        <f>F54/212.16*100</f>
        <v>3.0637254901960786</v>
      </c>
      <c r="M54" s="35">
        <f>E54-березень!E61</f>
        <v>0</v>
      </c>
      <c r="N54" s="35">
        <f>F54-березень!F61</f>
        <v>2.46</v>
      </c>
      <c r="O54" s="47">
        <f t="shared" si="15"/>
        <v>2.46</v>
      </c>
      <c r="P54" s="50"/>
      <c r="Q54" s="50">
        <f>N54-4.23</f>
        <v>-1.7700000000000005</v>
      </c>
      <c r="R54" s="126">
        <f>N54/4.23</f>
        <v>0.5815602836879432</v>
      </c>
    </row>
    <row r="55" spans="1:18" s="6" customFormat="1" ht="31.5">
      <c r="A55" s="8"/>
      <c r="B55" s="30" t="s">
        <v>123</v>
      </c>
      <c r="C55" s="94">
        <v>21080900</v>
      </c>
      <c r="D55" s="36">
        <v>6.5</v>
      </c>
      <c r="E55" s="36">
        <v>1.5</v>
      </c>
      <c r="F55" s="143">
        <v>0</v>
      </c>
      <c r="G55" s="43">
        <f t="shared" si="12"/>
        <v>-1.5</v>
      </c>
      <c r="H55" s="35">
        <f>F55/E55*100</f>
        <v>0</v>
      </c>
      <c r="I55" s="50">
        <f t="shared" si="13"/>
        <v>-6.5</v>
      </c>
      <c r="J55" s="50">
        <f t="shared" si="14"/>
        <v>0</v>
      </c>
      <c r="K55" s="50">
        <f>F55-4.08</f>
        <v>-4.08</v>
      </c>
      <c r="L55" s="50">
        <f>F55/4.08*100</f>
        <v>0</v>
      </c>
      <c r="M55" s="35">
        <f>E55-березень!E62</f>
        <v>0.5</v>
      </c>
      <c r="N55" s="35">
        <f>F55-березень!F62</f>
        <v>0</v>
      </c>
      <c r="O55" s="47">
        <f t="shared" si="15"/>
        <v>-0.5</v>
      </c>
      <c r="P55" s="50">
        <f>N55/M55*100</f>
        <v>0</v>
      </c>
      <c r="Q55" s="50">
        <f>N55-0</f>
        <v>0</v>
      </c>
      <c r="R55" s="126"/>
    </row>
    <row r="56" spans="1:18" s="6" customFormat="1" ht="15.75">
      <c r="A56" s="8"/>
      <c r="B56" s="15" t="s">
        <v>90</v>
      </c>
      <c r="C56" s="95">
        <v>21081100</v>
      </c>
      <c r="D56" s="36">
        <v>140</v>
      </c>
      <c r="E56" s="36">
        <v>37</v>
      </c>
      <c r="F56" s="143">
        <v>35.83</v>
      </c>
      <c r="G56" s="43">
        <f t="shared" si="12"/>
        <v>-1.1700000000000017</v>
      </c>
      <c r="H56" s="35">
        <f>F56/E56*100</f>
        <v>96.83783783783784</v>
      </c>
      <c r="I56" s="50">
        <f t="shared" si="13"/>
        <v>-104.17</v>
      </c>
      <c r="J56" s="50">
        <v>10</v>
      </c>
      <c r="K56" s="50">
        <f>F56-34.44</f>
        <v>1.3900000000000006</v>
      </c>
      <c r="L56" s="50">
        <f>F56/34.44*100</f>
        <v>104.03600464576076</v>
      </c>
      <c r="M56" s="35">
        <f>E56-березень!E63</f>
        <v>12</v>
      </c>
      <c r="N56" s="35">
        <f>F56-березень!F63</f>
        <v>5.069999999999997</v>
      </c>
      <c r="O56" s="47">
        <f t="shared" si="15"/>
        <v>-6.930000000000003</v>
      </c>
      <c r="P56" s="50">
        <f>N56/M56*100</f>
        <v>42.24999999999997</v>
      </c>
      <c r="Q56" s="50">
        <f>N56-9.02</f>
        <v>-3.950000000000003</v>
      </c>
      <c r="R56" s="126">
        <f>N56/9.02</f>
        <v>0.5620842572062081</v>
      </c>
    </row>
    <row r="57" spans="1:18" s="6" customFormat="1" ht="78.75" hidden="1">
      <c r="A57" s="8"/>
      <c r="B57" s="14" t="s">
        <v>91</v>
      </c>
      <c r="C57" s="59" t="s">
        <v>92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>F57/E57*100</f>
        <v>#DIV/0!</v>
      </c>
      <c r="I57" s="50">
        <f t="shared" si="13"/>
        <v>0</v>
      </c>
      <c r="J57" s="50" t="e">
        <f t="shared" si="14"/>
        <v>#DIV/0!</v>
      </c>
      <c r="K57" s="50">
        <f>F57-19.41</f>
        <v>-19.41</v>
      </c>
      <c r="L57" s="50">
        <f>F57</f>
        <v>0</v>
      </c>
      <c r="M57" s="35">
        <f>E57-березень!E64</f>
        <v>0</v>
      </c>
      <c r="N57" s="35">
        <f>F57-березень!F64</f>
        <v>0</v>
      </c>
      <c r="O57" s="47">
        <f t="shared" si="15"/>
        <v>0</v>
      </c>
      <c r="P57" s="50" t="e">
        <f>N57/M57*100</f>
        <v>#DIV/0!</v>
      </c>
      <c r="Q57" s="50"/>
      <c r="R57" s="126"/>
    </row>
    <row r="58" spans="1:18" s="6" customFormat="1" ht="15.75" hidden="1">
      <c r="A58" s="8"/>
      <c r="B58" s="14" t="s">
        <v>90</v>
      </c>
      <c r="C58" s="59" t="s">
        <v>93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>F58/E58*100</f>
        <v>#DIV/0!</v>
      </c>
      <c r="I58" s="50">
        <f t="shared" si="13"/>
        <v>0</v>
      </c>
      <c r="J58" s="50" t="e">
        <f t="shared" si="14"/>
        <v>#DIV/0!</v>
      </c>
      <c r="K58" s="50">
        <f>F58-19.41</f>
        <v>-19.41</v>
      </c>
      <c r="L58" s="50">
        <f>F58</f>
        <v>0</v>
      </c>
      <c r="M58" s="35">
        <f>E58-березень!E65</f>
        <v>0</v>
      </c>
      <c r="N58" s="35">
        <f>F58-березень!F65</f>
        <v>0</v>
      </c>
      <c r="O58" s="47">
        <f t="shared" si="15"/>
        <v>0</v>
      </c>
      <c r="P58" s="50" t="e">
        <f>N58/M58*100</f>
        <v>#DIV/0!</v>
      </c>
      <c r="Q58" s="50"/>
      <c r="R58" s="126"/>
    </row>
    <row r="59" spans="1:18" s="6" customFormat="1" ht="15.75" hidden="1">
      <c r="A59" s="8"/>
      <c r="B59" s="11" t="s">
        <v>94</v>
      </c>
      <c r="C59" s="57" t="s">
        <v>95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>F59/E59*100</f>
        <v>#DIV/0!</v>
      </c>
      <c r="I59" s="50">
        <f t="shared" si="13"/>
        <v>0</v>
      </c>
      <c r="J59" s="50" t="e">
        <f t="shared" si="14"/>
        <v>#DIV/0!</v>
      </c>
      <c r="K59" s="50">
        <f>F59-19.41</f>
        <v>-19.41</v>
      </c>
      <c r="L59" s="50">
        <f>F59</f>
        <v>0</v>
      </c>
      <c r="M59" s="35">
        <f>E59-березень!E66</f>
        <v>0</v>
      </c>
      <c r="N59" s="35">
        <f>F59-березень!F66</f>
        <v>0</v>
      </c>
      <c r="O59" s="47">
        <f t="shared" si="15"/>
        <v>0</v>
      </c>
      <c r="P59" s="50" t="e">
        <f>N59/M59*100</f>
        <v>#DIV/0!</v>
      </c>
      <c r="Q59" s="50"/>
      <c r="R59" s="126"/>
    </row>
    <row r="60" spans="1:18" s="6" customFormat="1" ht="31.5" hidden="1">
      <c r="A60" s="8"/>
      <c r="B60" s="60" t="s">
        <v>126</v>
      </c>
      <c r="C60" s="57"/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3"/>
        <v>0</v>
      </c>
      <c r="J60" s="50"/>
      <c r="K60" s="50">
        <f>F60-19.41</f>
        <v>-19.41</v>
      </c>
      <c r="L60" s="50">
        <f>F60</f>
        <v>0</v>
      </c>
      <c r="M60" s="35">
        <f>E60-березень!E67</f>
        <v>0</v>
      </c>
      <c r="N60" s="35">
        <f>F60-березень!F67</f>
        <v>0</v>
      </c>
      <c r="O60" s="47">
        <f t="shared" si="15"/>
        <v>0</v>
      </c>
      <c r="P60" s="50"/>
      <c r="Q60" s="50"/>
      <c r="R60" s="126"/>
    </row>
    <row r="61" spans="1:18" s="6" customFormat="1" ht="47.25" hidden="1">
      <c r="A61" s="8"/>
      <c r="B61" s="41" t="s">
        <v>137</v>
      </c>
      <c r="C61" s="96">
        <v>22010900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/>
      <c r="I61" s="50">
        <f t="shared" si="13"/>
        <v>0</v>
      </c>
      <c r="J61" s="50"/>
      <c r="K61" s="50">
        <f>F61-19.41</f>
        <v>-19.41</v>
      </c>
      <c r="L61" s="50">
        <f>F61</f>
        <v>0</v>
      </c>
      <c r="M61" s="35">
        <f>E61-березень!E68</f>
        <v>0</v>
      </c>
      <c r="N61" s="35">
        <f>F61-березень!F68</f>
        <v>0</v>
      </c>
      <c r="O61" s="47">
        <f t="shared" si="15"/>
        <v>0</v>
      </c>
      <c r="P61" s="50"/>
      <c r="Q61" s="50"/>
      <c r="R61" s="126"/>
    </row>
    <row r="62" spans="1:18" s="6" customFormat="1" ht="47.25">
      <c r="A62" s="8"/>
      <c r="B62" s="15" t="s">
        <v>225</v>
      </c>
      <c r="C62" s="67">
        <v>21081500</v>
      </c>
      <c r="D62" s="36">
        <v>0</v>
      </c>
      <c r="E62" s="36">
        <v>0</v>
      </c>
      <c r="F62" s="143">
        <v>1</v>
      </c>
      <c r="G62" s="43"/>
      <c r="H62" s="35"/>
      <c r="I62" s="50">
        <f>F62-D62</f>
        <v>1</v>
      </c>
      <c r="J62" s="50"/>
      <c r="K62" s="50">
        <f>F62-0</f>
        <v>1</v>
      </c>
      <c r="L62" s="50"/>
      <c r="M62" s="35">
        <f>E62-березень!E69</f>
        <v>0</v>
      </c>
      <c r="N62" s="35">
        <f>F62-березень!F69</f>
        <v>0</v>
      </c>
      <c r="O62" s="47"/>
      <c r="P62" s="50"/>
      <c r="Q62" s="50"/>
      <c r="R62" s="126"/>
    </row>
    <row r="63" spans="1:18" s="6" customFormat="1" ht="15.75">
      <c r="A63" s="8"/>
      <c r="B63" s="41" t="s">
        <v>222</v>
      </c>
      <c r="C63" s="95">
        <v>22012500</v>
      </c>
      <c r="D63" s="36">
        <v>0</v>
      </c>
      <c r="E63" s="36">
        <v>0</v>
      </c>
      <c r="F63" s="143">
        <v>2898.91</v>
      </c>
      <c r="G63" s="43"/>
      <c r="H63" s="35"/>
      <c r="I63" s="50">
        <f t="shared" si="13"/>
        <v>2898.91</v>
      </c>
      <c r="J63" s="50"/>
      <c r="K63" s="50">
        <f>F63-0</f>
        <v>2898.91</v>
      </c>
      <c r="L63" s="50"/>
      <c r="M63" s="35">
        <f>E63-березень!E70</f>
        <v>0</v>
      </c>
      <c r="N63" s="35">
        <f>F63-березень!F70</f>
        <v>370.3299999999999</v>
      </c>
      <c r="O63" s="47"/>
      <c r="P63" s="50"/>
      <c r="Q63" s="50"/>
      <c r="R63" s="126"/>
    </row>
    <row r="64" spans="1:18" s="6" customFormat="1" ht="31.5">
      <c r="A64" s="8"/>
      <c r="B64" s="15" t="s">
        <v>78</v>
      </c>
      <c r="C64" s="67">
        <v>22080401</v>
      </c>
      <c r="D64" s="36">
        <v>6900</v>
      </c>
      <c r="E64" s="36">
        <v>2420</v>
      </c>
      <c r="F64" s="143">
        <v>2673.74</v>
      </c>
      <c r="G64" s="43">
        <f t="shared" si="12"/>
        <v>253.73999999999978</v>
      </c>
      <c r="H64" s="35">
        <f>F64/E64*100</f>
        <v>110.48512396694214</v>
      </c>
      <c r="I64" s="50">
        <f t="shared" si="13"/>
        <v>-4226.26</v>
      </c>
      <c r="J64" s="50">
        <v>550</v>
      </c>
      <c r="K64" s="50">
        <f>F64-2382.53</f>
        <v>291.2099999999996</v>
      </c>
      <c r="L64" s="50">
        <f>F64/2382.53*100</f>
        <v>112.22272122491634</v>
      </c>
      <c r="M64" s="35">
        <f>E64-березень!E71</f>
        <v>630</v>
      </c>
      <c r="N64" s="35">
        <f>F64-березень!F71</f>
        <v>727.5999999999997</v>
      </c>
      <c r="O64" s="47">
        <f t="shared" si="15"/>
        <v>97.59999999999968</v>
      </c>
      <c r="P64" s="50">
        <f>N64/M64*100</f>
        <v>115.49206349206345</v>
      </c>
      <c r="Q64" s="50">
        <f>N64-647.49</f>
        <v>80.10999999999967</v>
      </c>
      <c r="R64" s="126">
        <f>N64/647.49</f>
        <v>1.1237239185161156</v>
      </c>
    </row>
    <row r="65" spans="1:18" s="6" customFormat="1" ht="15.75">
      <c r="A65" s="8"/>
      <c r="B65" s="15" t="s">
        <v>80</v>
      </c>
      <c r="C65" s="59">
        <v>22090000</v>
      </c>
      <c r="D65" s="36">
        <v>1100</v>
      </c>
      <c r="E65" s="36">
        <v>310</v>
      </c>
      <c r="F65" s="143">
        <v>2464.94</v>
      </c>
      <c r="G65" s="43">
        <f t="shared" si="12"/>
        <v>2154.94</v>
      </c>
      <c r="H65" s="35">
        <f>F65/E65*100</f>
        <v>795.141935483871</v>
      </c>
      <c r="I65" s="50">
        <f t="shared" si="13"/>
        <v>1364.94</v>
      </c>
      <c r="J65" s="50">
        <v>90</v>
      </c>
      <c r="K65" s="50">
        <f>F65-279.59</f>
        <v>2185.35</v>
      </c>
      <c r="L65" s="50">
        <f>F65/279.59*100</f>
        <v>881.6266676204442</v>
      </c>
      <c r="M65" s="35">
        <f>E65-березень!E72</f>
        <v>80</v>
      </c>
      <c r="N65" s="35">
        <f>F65-березень!F72</f>
        <v>282.96000000000004</v>
      </c>
      <c r="O65" s="47">
        <f t="shared" si="15"/>
        <v>202.96000000000004</v>
      </c>
      <c r="P65" s="50">
        <f>N65/M65*100</f>
        <v>353.70000000000005</v>
      </c>
      <c r="Q65" s="50">
        <f>N65-79.51</f>
        <v>203.45000000000005</v>
      </c>
      <c r="R65" s="126">
        <f>N65/79.51</f>
        <v>3.558797635517545</v>
      </c>
    </row>
    <row r="66" spans="1:18" s="6" customFormat="1" ht="47.25">
      <c r="A66" s="8"/>
      <c r="B66" s="15" t="s">
        <v>96</v>
      </c>
      <c r="C66" s="13" t="s">
        <v>97</v>
      </c>
      <c r="D66" s="36">
        <v>7.6</v>
      </c>
      <c r="E66" s="36">
        <v>0</v>
      </c>
      <c r="F66" s="143">
        <v>0</v>
      </c>
      <c r="G66" s="43">
        <f t="shared" si="12"/>
        <v>0</v>
      </c>
      <c r="H66" s="35"/>
      <c r="I66" s="50">
        <f t="shared" si="13"/>
        <v>-7.6</v>
      </c>
      <c r="J66" s="50"/>
      <c r="K66" s="50">
        <f>F66-0</f>
        <v>0</v>
      </c>
      <c r="L66" s="50"/>
      <c r="M66" s="35">
        <f>E66-березень!E73</f>
        <v>0</v>
      </c>
      <c r="N66" s="35">
        <f>F66-березень!F73</f>
        <v>0</v>
      </c>
      <c r="O66" s="47">
        <f t="shared" si="15"/>
        <v>0</v>
      </c>
      <c r="P66" s="50"/>
      <c r="Q66" s="50">
        <f>N66-0</f>
        <v>0</v>
      </c>
      <c r="R66" s="126"/>
    </row>
    <row r="67" spans="1:18" s="6" customFormat="1" ht="15.75" hidden="1">
      <c r="A67" s="8"/>
      <c r="B67" s="12" t="s">
        <v>73</v>
      </c>
      <c r="C67" s="59" t="s">
        <v>98</v>
      </c>
      <c r="D67" s="36">
        <v>0</v>
      </c>
      <c r="E67" s="36">
        <v>0</v>
      </c>
      <c r="F67" s="143">
        <v>0</v>
      </c>
      <c r="G67" s="43">
        <f t="shared" si="12"/>
        <v>0</v>
      </c>
      <c r="H67" s="35" t="e">
        <f>F67/E67*100</f>
        <v>#DIV/0!</v>
      </c>
      <c r="I67" s="50">
        <f t="shared" si="13"/>
        <v>0</v>
      </c>
      <c r="J67" s="50" t="e">
        <f>F67/D67*100</f>
        <v>#DIV/0!</v>
      </c>
      <c r="K67" s="50"/>
      <c r="L67" s="50">
        <f>F67</f>
        <v>0</v>
      </c>
      <c r="M67" s="35">
        <f>E67-березень!E74</f>
        <v>0</v>
      </c>
      <c r="N67" s="35">
        <f>F67-березень!F74</f>
        <v>0</v>
      </c>
      <c r="O67" s="47">
        <f t="shared" si="15"/>
        <v>0</v>
      </c>
      <c r="P67" s="50" t="e">
        <f aca="true" t="shared" si="16" ref="P67:P73">N67/M67*100</f>
        <v>#DIV/0!</v>
      </c>
      <c r="Q67" s="50"/>
      <c r="R67" s="126"/>
    </row>
    <row r="68" spans="1:18" s="6" customFormat="1" ht="15.75" customHeight="1">
      <c r="A68" s="8"/>
      <c r="B68" s="14" t="s">
        <v>73</v>
      </c>
      <c r="C68" s="13" t="s">
        <v>99</v>
      </c>
      <c r="D68" s="36">
        <v>4200</v>
      </c>
      <c r="E68" s="36">
        <v>1270</v>
      </c>
      <c r="F68" s="143">
        <v>1157.24</v>
      </c>
      <c r="G68" s="43">
        <f t="shared" si="12"/>
        <v>-112.75999999999999</v>
      </c>
      <c r="H68" s="35">
        <f>F68/E68*100</f>
        <v>91.12125984251969</v>
      </c>
      <c r="I68" s="50">
        <f t="shared" si="13"/>
        <v>-3042.76</v>
      </c>
      <c r="J68" s="50">
        <f>F68/D68*100</f>
        <v>27.553333333333335</v>
      </c>
      <c r="K68" s="50">
        <f>F68-1238.46</f>
        <v>-81.22000000000003</v>
      </c>
      <c r="L68" s="50">
        <f>F68/1238.46*100</f>
        <v>93.44185520727355</v>
      </c>
      <c r="M68" s="35">
        <f>E68-березень!E75</f>
        <v>320</v>
      </c>
      <c r="N68" s="35">
        <f>F68-березень!F75</f>
        <v>196.76999999999998</v>
      </c>
      <c r="O68" s="47">
        <f t="shared" si="15"/>
        <v>-123.23000000000002</v>
      </c>
      <c r="P68" s="50">
        <f t="shared" si="16"/>
        <v>61.490625</v>
      </c>
      <c r="Q68" s="50">
        <f>N68-277.38</f>
        <v>-80.61000000000001</v>
      </c>
      <c r="R68" s="126">
        <f>N68/277.38</f>
        <v>0.7093878433917369</v>
      </c>
    </row>
    <row r="69" spans="1:18" s="6" customFormat="1" ht="31.5" customHeight="1" hidden="1">
      <c r="A69" s="8"/>
      <c r="B69" s="14" t="s">
        <v>100</v>
      </c>
      <c r="C69" s="83" t="s">
        <v>101</v>
      </c>
      <c r="D69" s="36">
        <v>0</v>
      </c>
      <c r="E69" s="36">
        <v>0</v>
      </c>
      <c r="F69" s="143">
        <v>0</v>
      </c>
      <c r="G69" s="43">
        <f t="shared" si="12"/>
        <v>0</v>
      </c>
      <c r="H69" s="35" t="e">
        <f>F69/E69*100</f>
        <v>#DIV/0!</v>
      </c>
      <c r="I69" s="50">
        <f t="shared" si="13"/>
        <v>0</v>
      </c>
      <c r="J69" s="50" t="e">
        <f>F69/D69*100</f>
        <v>#DIV/0!</v>
      </c>
      <c r="K69" s="50"/>
      <c r="L69" s="50">
        <f>F69</f>
        <v>0</v>
      </c>
      <c r="M69" s="35">
        <f>E69-березень!E76</f>
        <v>0</v>
      </c>
      <c r="N69" s="35">
        <f>F69-березень!F76</f>
        <v>0</v>
      </c>
      <c r="O69" s="47">
        <f t="shared" si="15"/>
        <v>0</v>
      </c>
      <c r="P69" s="50" t="e">
        <f t="shared" si="16"/>
        <v>#DIV/0!</v>
      </c>
      <c r="Q69" s="50"/>
      <c r="R69" s="126">
        <f>N69/277.38</f>
        <v>0</v>
      </c>
    </row>
    <row r="70" spans="1:18" s="6" customFormat="1" ht="15.75" hidden="1">
      <c r="A70" s="8"/>
      <c r="B70" s="14" t="s">
        <v>102</v>
      </c>
      <c r="C70" s="83" t="s">
        <v>103</v>
      </c>
      <c r="D70" s="36">
        <v>0</v>
      </c>
      <c r="E70" s="36">
        <v>0</v>
      </c>
      <c r="F70" s="143">
        <v>0</v>
      </c>
      <c r="G70" s="43">
        <f t="shared" si="12"/>
        <v>0</v>
      </c>
      <c r="H70" s="35" t="e">
        <f>F70/E70*100</f>
        <v>#DIV/0!</v>
      </c>
      <c r="I70" s="50">
        <f t="shared" si="13"/>
        <v>0</v>
      </c>
      <c r="J70" s="50" t="e">
        <f>F70/D70*100</f>
        <v>#DIV/0!</v>
      </c>
      <c r="K70" s="50"/>
      <c r="L70" s="50">
        <f>F70</f>
        <v>0</v>
      </c>
      <c r="M70" s="35">
        <f>E70-березень!E77</f>
        <v>0</v>
      </c>
      <c r="N70" s="35">
        <f>F70-березень!F77</f>
        <v>0</v>
      </c>
      <c r="O70" s="47">
        <f t="shared" si="15"/>
        <v>0</v>
      </c>
      <c r="P70" s="50" t="e">
        <f t="shared" si="16"/>
        <v>#DIV/0!</v>
      </c>
      <c r="Q70" s="50"/>
      <c r="R70" s="126">
        <f>N70/277.38</f>
        <v>0</v>
      </c>
    </row>
    <row r="71" spans="1:18" s="6" customFormat="1" ht="31.5">
      <c r="A71" s="8"/>
      <c r="B71" s="69" t="s">
        <v>127</v>
      </c>
      <c r="C71" s="83"/>
      <c r="D71" s="135"/>
      <c r="E71" s="135"/>
      <c r="F71" s="144">
        <v>285.1</v>
      </c>
      <c r="G71" s="135">
        <f t="shared" si="12"/>
        <v>285.1</v>
      </c>
      <c r="H71" s="137"/>
      <c r="I71" s="136">
        <f t="shared" si="13"/>
        <v>285.1</v>
      </c>
      <c r="J71" s="136"/>
      <c r="K71" s="136">
        <f>F71-234.45</f>
        <v>50.650000000000034</v>
      </c>
      <c r="L71" s="138">
        <f>F71/234.45*100</f>
        <v>121.6037534655577</v>
      </c>
      <c r="M71" s="35">
        <f>E71-березень!E78</f>
        <v>0</v>
      </c>
      <c r="N71" s="35">
        <f>F71-березень!F78</f>
        <v>45.50000000000003</v>
      </c>
      <c r="O71" s="138">
        <f t="shared" si="15"/>
        <v>45.50000000000003</v>
      </c>
      <c r="P71" s="136"/>
      <c r="Q71" s="50">
        <f>N71-64.93</f>
        <v>-19.42999999999998</v>
      </c>
      <c r="R71" s="126">
        <f>N71/64.93</f>
        <v>0.7007546588633917</v>
      </c>
    </row>
    <row r="72" spans="1:18" s="6" customFormat="1" ht="44.25" customHeight="1">
      <c r="A72" s="8"/>
      <c r="B72" s="14" t="s">
        <v>128</v>
      </c>
      <c r="C72" s="59">
        <v>24061900</v>
      </c>
      <c r="D72" s="36">
        <v>13</v>
      </c>
      <c r="E72" s="36">
        <v>5</v>
      </c>
      <c r="F72" s="143">
        <v>0</v>
      </c>
      <c r="G72" s="43">
        <f t="shared" si="12"/>
        <v>-5</v>
      </c>
      <c r="H72" s="35"/>
      <c r="I72" s="50">
        <f t="shared" si="13"/>
        <v>-13</v>
      </c>
      <c r="J72" s="50"/>
      <c r="K72" s="50">
        <f>F72-13.19</f>
        <v>-13.19</v>
      </c>
      <c r="L72" s="50">
        <f>F72/13.19*100</f>
        <v>0</v>
      </c>
      <c r="M72" s="35">
        <f>E72-березень!E79</f>
        <v>0</v>
      </c>
      <c r="N72" s="35">
        <f>F72-березень!F79</f>
        <v>0</v>
      </c>
      <c r="O72" s="47">
        <f t="shared" si="15"/>
        <v>0</v>
      </c>
      <c r="P72" s="50"/>
      <c r="Q72" s="50"/>
      <c r="R72" s="126"/>
    </row>
    <row r="73" spans="1:18" s="6" customFormat="1" ht="31.5">
      <c r="A73" s="8"/>
      <c r="B73" s="14" t="s">
        <v>129</v>
      </c>
      <c r="C73" s="59">
        <v>31010200</v>
      </c>
      <c r="D73" s="36">
        <v>26.5</v>
      </c>
      <c r="E73" s="36">
        <v>8.4</v>
      </c>
      <c r="F73" s="143">
        <v>6.33</v>
      </c>
      <c r="G73" s="43">
        <f t="shared" si="12"/>
        <v>-2.0700000000000003</v>
      </c>
      <c r="H73" s="35">
        <f>F73/E73*100</f>
        <v>75.35714285714286</v>
      </c>
      <c r="I73" s="50">
        <f t="shared" si="13"/>
        <v>-20.17</v>
      </c>
      <c r="J73" s="50">
        <f>F73/D73*100</f>
        <v>23.88679245283019</v>
      </c>
      <c r="K73" s="50">
        <f>F73-9.01</f>
        <v>-2.6799999999999997</v>
      </c>
      <c r="L73" s="50">
        <f>F73/9.01*100</f>
        <v>70.25527192008879</v>
      </c>
      <c r="M73" s="35">
        <f>E73-березень!E80</f>
        <v>2.2</v>
      </c>
      <c r="N73" s="35">
        <f>F73-березень!F80</f>
        <v>0.23000000000000043</v>
      </c>
      <c r="O73" s="47">
        <f t="shared" si="15"/>
        <v>-1.9699999999999998</v>
      </c>
      <c r="P73" s="50">
        <f t="shared" si="16"/>
        <v>10.454545454545473</v>
      </c>
      <c r="Q73" s="50"/>
      <c r="R73" s="126"/>
    </row>
    <row r="74" spans="1:18" s="6" customFormat="1" ht="31.5">
      <c r="A74" s="8"/>
      <c r="B74" s="14" t="s">
        <v>165</v>
      </c>
      <c r="C74" s="59">
        <v>31020000</v>
      </c>
      <c r="D74" s="36">
        <v>0</v>
      </c>
      <c r="E74" s="36">
        <v>0</v>
      </c>
      <c r="F74" s="143">
        <v>0.02</v>
      </c>
      <c r="G74" s="43">
        <f t="shared" si="12"/>
        <v>0.02</v>
      </c>
      <c r="H74" s="35"/>
      <c r="I74" s="50">
        <f t="shared" si="13"/>
        <v>0.02</v>
      </c>
      <c r="J74" s="50"/>
      <c r="K74" s="50">
        <f>F74-0.04</f>
        <v>-0.02</v>
      </c>
      <c r="L74" s="50"/>
      <c r="M74" s="35">
        <f>E74-березень!E81</f>
        <v>0</v>
      </c>
      <c r="N74" s="35">
        <f>F74-березень!F81</f>
        <v>0</v>
      </c>
      <c r="O74" s="47">
        <f t="shared" si="15"/>
        <v>0</v>
      </c>
      <c r="P74" s="50"/>
      <c r="Q74" s="50"/>
      <c r="R74" s="126"/>
    </row>
    <row r="75" spans="1:22" s="6" customFormat="1" ht="18.75">
      <c r="A75" s="9"/>
      <c r="B75" s="17" t="s">
        <v>109</v>
      </c>
      <c r="C75" s="84"/>
      <c r="D75" s="18">
        <f>D8+D49+D73+D74</f>
        <v>530022.6</v>
      </c>
      <c r="E75" s="18">
        <f>E8+E49+E73+E74</f>
        <v>181491.83</v>
      </c>
      <c r="F75" s="18">
        <f>F8+F49+F73+F74</f>
        <v>168296.90999999997</v>
      </c>
      <c r="G75" s="44">
        <f>F75-E75</f>
        <v>-13194.920000000013</v>
      </c>
      <c r="H75" s="45">
        <f>F75/E75*100</f>
        <v>92.72974436369945</v>
      </c>
      <c r="I75" s="31">
        <f>F75-D75</f>
        <v>-361725.69</v>
      </c>
      <c r="J75" s="31">
        <f>F75/D75*100</f>
        <v>31.752779975797257</v>
      </c>
      <c r="K75" s="31">
        <f>K8+K49+K73+K74</f>
        <v>12455.469999999998</v>
      </c>
      <c r="L75" s="31"/>
      <c r="M75" s="18">
        <f>M8+M49+M73+M74</f>
        <v>42791.049999999996</v>
      </c>
      <c r="N75" s="18">
        <f>N8+N49+N73+N74</f>
        <v>21158.729999999996</v>
      </c>
      <c r="O75" s="49">
        <f>N75-M75</f>
        <v>-21632.32</v>
      </c>
      <c r="P75" s="31">
        <f>N75/M75*100</f>
        <v>49.44662493675663</v>
      </c>
      <c r="Q75" s="31">
        <f>N75-34768</f>
        <v>-13609.270000000004</v>
      </c>
      <c r="R75" s="171">
        <f>N75/34768</f>
        <v>0.6085690865163368</v>
      </c>
      <c r="S75" s="172"/>
      <c r="T75" s="166"/>
      <c r="U75" s="175"/>
      <c r="V75" s="175"/>
    </row>
    <row r="76" spans="1:18" s="66" customFormat="1" ht="18.75" hidden="1">
      <c r="A76" s="62"/>
      <c r="B76" s="75" t="s">
        <v>150</v>
      </c>
      <c r="C76" s="85"/>
      <c r="D76" s="64">
        <v>0</v>
      </c>
      <c r="E76" s="112">
        <v>0</v>
      </c>
      <c r="F76" s="112">
        <v>0</v>
      </c>
      <c r="G76" s="102">
        <f>F76-E76</f>
        <v>0</v>
      </c>
      <c r="H76" s="65" t="e">
        <f>F76/E76*100</f>
        <v>#DIV/0!</v>
      </c>
      <c r="I76" s="74">
        <f>F76-D76</f>
        <v>0</v>
      </c>
      <c r="J76" s="46" t="e">
        <f>F76/D76*100</f>
        <v>#DIV/0!</v>
      </c>
      <c r="K76" s="46"/>
      <c r="L76" s="46"/>
      <c r="M76" s="113">
        <f>E76</f>
        <v>0</v>
      </c>
      <c r="N76" s="64"/>
      <c r="O76" s="109">
        <f>N76-M76</f>
        <v>0</v>
      </c>
      <c r="P76" s="46" t="e">
        <f>N76/M76*100</f>
        <v>#DIV/0!</v>
      </c>
      <c r="Q76" s="46"/>
      <c r="R76" s="128"/>
    </row>
    <row r="77" spans="1:18" s="66" customFormat="1" ht="18.75" hidden="1">
      <c r="A77" s="62"/>
      <c r="B77" s="76" t="s">
        <v>152</v>
      </c>
      <c r="C77" s="85"/>
      <c r="D77" s="77">
        <v>1171.6179</v>
      </c>
      <c r="E77" s="64">
        <v>1171.6179</v>
      </c>
      <c r="F77" s="112">
        <f>'[2]січень'!$C$27/1000</f>
        <v>0</v>
      </c>
      <c r="G77" s="55">
        <f>F77-E77</f>
        <v>-1171.6179</v>
      </c>
      <c r="H77" s="65"/>
      <c r="I77" s="78">
        <f>F77-D77</f>
        <v>-1171.6179</v>
      </c>
      <c r="J77" s="46"/>
      <c r="K77" s="46"/>
      <c r="L77" s="46"/>
      <c r="M77" s="35">
        <f>E77</f>
        <v>1171.6179</v>
      </c>
      <c r="N77" s="64">
        <f>F77</f>
        <v>0</v>
      </c>
      <c r="O77" s="79">
        <f>N77-M77</f>
        <v>-1171.6179</v>
      </c>
      <c r="P77" s="46">
        <f>N77/M77*100</f>
        <v>0</v>
      </c>
      <c r="Q77" s="46"/>
      <c r="R77" s="128"/>
    </row>
    <row r="78" spans="1:18" s="66" customFormat="1" ht="37.5" hidden="1">
      <c r="A78" s="62"/>
      <c r="B78" s="76" t="s">
        <v>177</v>
      </c>
      <c r="C78" s="85"/>
      <c r="D78" s="77"/>
      <c r="E78" s="43">
        <v>0</v>
      </c>
      <c r="F78" s="147">
        <v>0</v>
      </c>
      <c r="G78" s="55">
        <f>F78-E78</f>
        <v>0</v>
      </c>
      <c r="H78" s="65"/>
      <c r="I78" s="78"/>
      <c r="J78" s="46"/>
      <c r="K78" s="46"/>
      <c r="L78" s="46"/>
      <c r="M78" s="35">
        <v>0</v>
      </c>
      <c r="N78" s="77">
        <v>0</v>
      </c>
      <c r="O78" s="109">
        <f>N78-M78</f>
        <v>0</v>
      </c>
      <c r="P78" s="46"/>
      <c r="Q78" s="46"/>
      <c r="R78" s="128"/>
    </row>
    <row r="79" spans="2:18" ht="15.75">
      <c r="B79" s="25" t="s">
        <v>110</v>
      </c>
      <c r="C79" s="86"/>
      <c r="D79" s="28"/>
      <c r="E79" s="28"/>
      <c r="F79" s="146"/>
      <c r="G79" s="43"/>
      <c r="H79" s="35"/>
      <c r="I79" s="53"/>
      <c r="J79" s="53"/>
      <c r="K79" s="53"/>
      <c r="L79" s="53"/>
      <c r="M79" s="36"/>
      <c r="N79" s="36"/>
      <c r="O79" s="47"/>
      <c r="P79" s="53"/>
      <c r="Q79" s="53"/>
      <c r="R79" s="129"/>
    </row>
    <row r="80" spans="2:18" ht="15.75">
      <c r="B80" s="186" t="s">
        <v>250</v>
      </c>
      <c r="C80" s="86">
        <v>12020100</v>
      </c>
      <c r="D80" s="28"/>
      <c r="E80" s="28"/>
      <c r="F80" s="146">
        <v>4.38</v>
      </c>
      <c r="G80" s="43"/>
      <c r="H80" s="35"/>
      <c r="I80" s="53"/>
      <c r="J80" s="53"/>
      <c r="K80" s="53"/>
      <c r="L80" s="53"/>
      <c r="M80" s="36"/>
      <c r="N80" s="36">
        <f>F80</f>
        <v>4.38</v>
      </c>
      <c r="O80" s="47"/>
      <c r="P80" s="53"/>
      <c r="Q80" s="53"/>
      <c r="R80" s="129"/>
    </row>
    <row r="81" spans="2:18" ht="31.5">
      <c r="B81" s="26" t="s">
        <v>170</v>
      </c>
      <c r="C81" s="97">
        <v>18041500</v>
      </c>
      <c r="D81" s="28">
        <v>0</v>
      </c>
      <c r="E81" s="28">
        <v>0</v>
      </c>
      <c r="F81" s="146">
        <v>-14.65</v>
      </c>
      <c r="G81" s="43">
        <f aca="true" t="shared" si="17" ref="G81:G89">F81-E81</f>
        <v>-14.65</v>
      </c>
      <c r="H81" s="35"/>
      <c r="I81" s="53">
        <f aca="true" t="shared" si="18" ref="I81:I88">F81-D81</f>
        <v>-14.65</v>
      </c>
      <c r="J81" s="53"/>
      <c r="K81" s="47">
        <f>F81-96.53</f>
        <v>-111.18</v>
      </c>
      <c r="L81" s="53"/>
      <c r="M81" s="35">
        <f>E81-березень!E87</f>
        <v>0</v>
      </c>
      <c r="N81" s="35">
        <f>F81-березень!F87</f>
        <v>0</v>
      </c>
      <c r="O81" s="47">
        <f aca="true" t="shared" si="19" ref="O81:O89">N81-M81</f>
        <v>0</v>
      </c>
      <c r="P81" s="53"/>
      <c r="Q81" s="53">
        <f>N81-24.53</f>
        <v>-24.53</v>
      </c>
      <c r="R81" s="129">
        <f>N81/24.53</f>
        <v>0</v>
      </c>
    </row>
    <row r="82" spans="2:18" ht="15.75">
      <c r="B82" s="32" t="s">
        <v>130</v>
      </c>
      <c r="C82" s="98"/>
      <c r="D82" s="33">
        <f>D81</f>
        <v>0</v>
      </c>
      <c r="E82" s="33">
        <f>E81</f>
        <v>0</v>
      </c>
      <c r="F82" s="145">
        <f>SUM(F80:F81)</f>
        <v>-10.27</v>
      </c>
      <c r="G82" s="55">
        <f t="shared" si="17"/>
        <v>-10.27</v>
      </c>
      <c r="H82" s="65"/>
      <c r="I82" s="54">
        <f t="shared" si="18"/>
        <v>-10.27</v>
      </c>
      <c r="J82" s="54"/>
      <c r="K82" s="54">
        <f>F82-(-111.2)</f>
        <v>100.93</v>
      </c>
      <c r="L82" s="54">
        <f>F82/223.32*100</f>
        <v>-4.598782016836826</v>
      </c>
      <c r="M82" s="55">
        <f>M81</f>
        <v>0</v>
      </c>
      <c r="N82" s="33">
        <f>SUM(N80:N81)</f>
        <v>4.38</v>
      </c>
      <c r="O82" s="54">
        <f t="shared" si="19"/>
        <v>4.38</v>
      </c>
      <c r="P82" s="54"/>
      <c r="Q82" s="54">
        <f>N82-92.85</f>
        <v>-88.47</v>
      </c>
      <c r="R82" s="130">
        <f>N82/92.85</f>
        <v>0.04717285945072698</v>
      </c>
    </row>
    <row r="83" spans="2:18" ht="47.25" hidden="1">
      <c r="B83" s="26" t="s">
        <v>121</v>
      </c>
      <c r="C83" s="98">
        <v>21110000</v>
      </c>
      <c r="D83" s="28">
        <v>0</v>
      </c>
      <c r="E83" s="28"/>
      <c r="F83" s="146">
        <v>0</v>
      </c>
      <c r="G83" s="43">
        <f t="shared" si="17"/>
        <v>0</v>
      </c>
      <c r="H83" s="35" t="e">
        <f aca="true" t="shared" si="20" ref="H83:H89">F83/E83*100</f>
        <v>#DIV/0!</v>
      </c>
      <c r="I83" s="53">
        <f t="shared" si="18"/>
        <v>0</v>
      </c>
      <c r="J83" s="53" t="e">
        <f aca="true" t="shared" si="21" ref="J83:J88">F83/D83*100</f>
        <v>#DIV/0!</v>
      </c>
      <c r="K83" s="53"/>
      <c r="L83" s="53"/>
      <c r="M83" s="36">
        <v>0</v>
      </c>
      <c r="N83" s="36">
        <f>F83</f>
        <v>0</v>
      </c>
      <c r="O83" s="47">
        <f t="shared" si="19"/>
        <v>0</v>
      </c>
      <c r="P83" s="53"/>
      <c r="Q83" s="53"/>
      <c r="R83" s="129"/>
    </row>
    <row r="84" spans="2:18" ht="31.5">
      <c r="B84" s="26" t="s">
        <v>111</v>
      </c>
      <c r="C84" s="97">
        <v>31030000</v>
      </c>
      <c r="D84" s="167">
        <v>2500</v>
      </c>
      <c r="E84" s="28">
        <v>70</v>
      </c>
      <c r="F84" s="146">
        <v>91.71</v>
      </c>
      <c r="G84" s="43">
        <f t="shared" si="17"/>
        <v>21.709999999999994</v>
      </c>
      <c r="H84" s="35"/>
      <c r="I84" s="53">
        <f t="shared" si="18"/>
        <v>-2408.29</v>
      </c>
      <c r="J84" s="53">
        <f t="shared" si="21"/>
        <v>3.668399999999999</v>
      </c>
      <c r="K84" s="53">
        <f>F84-1435</f>
        <v>-1343.29</v>
      </c>
      <c r="L84" s="53">
        <f>F84/1435*100</f>
        <v>6.390940766550522</v>
      </c>
      <c r="M84" s="35">
        <f>E84-березень!E90</f>
        <v>70</v>
      </c>
      <c r="N84" s="35">
        <f>F84-березень!F90</f>
        <v>58.239999999999995</v>
      </c>
      <c r="O84" s="47">
        <f t="shared" si="19"/>
        <v>-11.760000000000005</v>
      </c>
      <c r="P84" s="53"/>
      <c r="Q84" s="53">
        <f>N84-0.04</f>
        <v>58.199999999999996</v>
      </c>
      <c r="R84" s="129">
        <f>N84/0.04</f>
        <v>1455.9999999999998</v>
      </c>
    </row>
    <row r="85" spans="2:18" ht="15.75">
      <c r="B85" s="26" t="s">
        <v>112</v>
      </c>
      <c r="C85" s="97">
        <v>33010000</v>
      </c>
      <c r="D85" s="167">
        <v>11576</v>
      </c>
      <c r="E85" s="28">
        <v>1498.98</v>
      </c>
      <c r="F85" s="146">
        <v>1671.96</v>
      </c>
      <c r="G85" s="43">
        <f t="shared" si="17"/>
        <v>172.98000000000002</v>
      </c>
      <c r="H85" s="35">
        <f t="shared" si="20"/>
        <v>111.53984709602528</v>
      </c>
      <c r="I85" s="53">
        <f t="shared" si="18"/>
        <v>-9904.04</v>
      </c>
      <c r="J85" s="53">
        <f t="shared" si="21"/>
        <v>14.443331029716655</v>
      </c>
      <c r="K85" s="53">
        <f>F85-1487.49</f>
        <v>184.47000000000003</v>
      </c>
      <c r="L85" s="53">
        <f>F85/1487.49*100</f>
        <v>112.40142790875905</v>
      </c>
      <c r="M85" s="35">
        <f>E85-березень!E91</f>
        <v>960.85</v>
      </c>
      <c r="N85" s="35">
        <f>F85-березень!F91</f>
        <v>262.18000000000006</v>
      </c>
      <c r="O85" s="47">
        <f t="shared" si="19"/>
        <v>-698.67</v>
      </c>
      <c r="P85" s="53">
        <f>N85/M85*100</f>
        <v>27.28625695998335</v>
      </c>
      <c r="Q85" s="53">
        <f>N85-450.01</f>
        <v>-187.82999999999993</v>
      </c>
      <c r="R85" s="129">
        <f>N85/450.01</f>
        <v>0.5826092753494369</v>
      </c>
    </row>
    <row r="86" spans="2:18" ht="31.5">
      <c r="B86" s="26" t="s">
        <v>156</v>
      </c>
      <c r="C86" s="97">
        <v>24170000</v>
      </c>
      <c r="D86" s="167">
        <v>3000</v>
      </c>
      <c r="E86" s="28">
        <v>444.3</v>
      </c>
      <c r="F86" s="146">
        <v>11.28</v>
      </c>
      <c r="G86" s="43">
        <f t="shared" si="17"/>
        <v>-433.02000000000004</v>
      </c>
      <c r="H86" s="35">
        <f t="shared" si="20"/>
        <v>2.5388251181634027</v>
      </c>
      <c r="I86" s="53">
        <f t="shared" si="18"/>
        <v>-2988.72</v>
      </c>
      <c r="J86" s="53">
        <f t="shared" si="21"/>
        <v>0.376</v>
      </c>
      <c r="K86" s="53">
        <f>F86-577.27</f>
        <v>-565.99</v>
      </c>
      <c r="L86" s="53">
        <f>F86/577.27*100</f>
        <v>1.954024979645573</v>
      </c>
      <c r="M86" s="35">
        <f>E86-березень!E92</f>
        <v>148.10000000000002</v>
      </c>
      <c r="N86" s="35">
        <f>F86-березень!F92</f>
        <v>0.21999999999999886</v>
      </c>
      <c r="O86" s="47">
        <f t="shared" si="19"/>
        <v>-147.88000000000002</v>
      </c>
      <c r="P86" s="53">
        <f>N86/M86*100</f>
        <v>0.14854827819041108</v>
      </c>
      <c r="Q86" s="53">
        <f>N86-1.05</f>
        <v>-0.8300000000000012</v>
      </c>
      <c r="R86" s="129">
        <f>N86/1.05</f>
        <v>0.20952380952380842</v>
      </c>
    </row>
    <row r="87" spans="2:19" ht="34.5">
      <c r="B87" s="32" t="s">
        <v>144</v>
      </c>
      <c r="C87" s="87"/>
      <c r="D87" s="33">
        <f>D84+D85+D86</f>
        <v>17076</v>
      </c>
      <c r="E87" s="33">
        <f>E84+E85+E86</f>
        <v>2013.28</v>
      </c>
      <c r="F87" s="145">
        <f>F84+F85+F86</f>
        <v>1774.95</v>
      </c>
      <c r="G87" s="55">
        <f t="shared" si="17"/>
        <v>-238.32999999999993</v>
      </c>
      <c r="H87" s="65">
        <f t="shared" si="20"/>
        <v>88.16210363188429</v>
      </c>
      <c r="I87" s="54">
        <f t="shared" si="18"/>
        <v>-15301.05</v>
      </c>
      <c r="J87" s="54">
        <f t="shared" si="21"/>
        <v>10.394413211524947</v>
      </c>
      <c r="K87" s="54">
        <f>F87-3499.76</f>
        <v>-1724.8100000000002</v>
      </c>
      <c r="L87" s="54">
        <f>F87/3499.96*100</f>
        <v>50.71343672499115</v>
      </c>
      <c r="M87" s="55">
        <f>M84+M85+M86</f>
        <v>1178.9499999999998</v>
      </c>
      <c r="N87" s="55">
        <f>N84+N85+N86</f>
        <v>320.6400000000001</v>
      </c>
      <c r="O87" s="54">
        <f t="shared" si="19"/>
        <v>-858.3099999999997</v>
      </c>
      <c r="P87" s="54">
        <f>N87/M87*100</f>
        <v>27.197082149370218</v>
      </c>
      <c r="Q87" s="54">
        <f>N87-7985.28</f>
        <v>-7664.639999999999</v>
      </c>
      <c r="R87" s="173">
        <f>N87/7985.28</f>
        <v>0.04015388314498679</v>
      </c>
      <c r="S87" s="174"/>
    </row>
    <row r="88" spans="2:18" ht="47.25">
      <c r="B88" s="14" t="s">
        <v>124</v>
      </c>
      <c r="C88" s="100">
        <v>24062100</v>
      </c>
      <c r="D88" s="167">
        <v>35</v>
      </c>
      <c r="E88" s="28">
        <v>9</v>
      </c>
      <c r="F88" s="146">
        <v>0</v>
      </c>
      <c r="G88" s="43">
        <f t="shared" si="17"/>
        <v>-9</v>
      </c>
      <c r="H88" s="35"/>
      <c r="I88" s="53">
        <f t="shared" si="18"/>
        <v>-35</v>
      </c>
      <c r="J88" s="53">
        <f t="shared" si="21"/>
        <v>0</v>
      </c>
      <c r="K88" s="53">
        <f>F88-9.65</f>
        <v>-9.65</v>
      </c>
      <c r="L88" s="53">
        <f>F88/9.65*100</f>
        <v>0</v>
      </c>
      <c r="M88" s="35">
        <f>E88-березень!E94</f>
        <v>5</v>
      </c>
      <c r="N88" s="35">
        <f>F88-березень!F94</f>
        <v>0</v>
      </c>
      <c r="O88" s="47">
        <f t="shared" si="19"/>
        <v>-5</v>
      </c>
      <c r="P88" s="53"/>
      <c r="Q88" s="53">
        <f>N88-0.16</f>
        <v>-0.16</v>
      </c>
      <c r="R88" s="129">
        <f>N88/0.16</f>
        <v>0</v>
      </c>
    </row>
    <row r="89" spans="2:18" ht="15.75" hidden="1">
      <c r="B89" s="37"/>
      <c r="C89" s="100">
        <v>24062100</v>
      </c>
      <c r="D89" s="28">
        <v>0</v>
      </c>
      <c r="E89" s="28">
        <v>0</v>
      </c>
      <c r="F89" s="146">
        <v>0</v>
      </c>
      <c r="G89" s="43">
        <f t="shared" si="17"/>
        <v>0</v>
      </c>
      <c r="H89" s="35" t="e">
        <f t="shared" si="20"/>
        <v>#DIV/0!</v>
      </c>
      <c r="I89" s="56"/>
      <c r="J89" s="56"/>
      <c r="K89" s="56"/>
      <c r="L89" s="53">
        <f>F89</f>
        <v>0</v>
      </c>
      <c r="M89" s="35">
        <f>E89-березень!E95</f>
        <v>0</v>
      </c>
      <c r="N89" s="35">
        <f>F89-березень!F95</f>
        <v>0</v>
      </c>
      <c r="O89" s="47">
        <f t="shared" si="19"/>
        <v>0</v>
      </c>
      <c r="P89" s="56"/>
      <c r="Q89" s="56"/>
      <c r="R89" s="131"/>
    </row>
    <row r="90" spans="2:18" ht="15.75">
      <c r="B90" s="26" t="s">
        <v>146</v>
      </c>
      <c r="C90" s="97">
        <v>24061600</v>
      </c>
      <c r="D90" s="167">
        <v>19</v>
      </c>
      <c r="E90" s="28">
        <v>10</v>
      </c>
      <c r="F90" s="146">
        <v>0</v>
      </c>
      <c r="G90" s="43"/>
      <c r="H90" s="35"/>
      <c r="I90" s="56"/>
      <c r="J90" s="56"/>
      <c r="K90" s="47">
        <f>F90-17.76</f>
        <v>-17.76</v>
      </c>
      <c r="L90" s="53">
        <f>F90/17.76*100</f>
        <v>0</v>
      </c>
      <c r="M90" s="35">
        <f>E90-березень!E96</f>
        <v>10</v>
      </c>
      <c r="N90" s="35">
        <f>F90-березень!F96</f>
        <v>0</v>
      </c>
      <c r="O90" s="47"/>
      <c r="P90" s="56"/>
      <c r="Q90" s="56">
        <f>N90-8.76</f>
        <v>-8.76</v>
      </c>
      <c r="R90" s="131">
        <f>N90/8.76</f>
        <v>0</v>
      </c>
    </row>
    <row r="91" spans="2:18" ht="31.5">
      <c r="B91" s="26" t="s">
        <v>140</v>
      </c>
      <c r="C91" s="97">
        <v>19050000</v>
      </c>
      <c r="D91" s="28">
        <v>0</v>
      </c>
      <c r="E91" s="28">
        <v>0</v>
      </c>
      <c r="F91" s="146">
        <v>0.58</v>
      </c>
      <c r="G91" s="43">
        <f>F91-E91</f>
        <v>0.58</v>
      </c>
      <c r="H91" s="35"/>
      <c r="I91" s="53">
        <f>F91-D91</f>
        <v>0.58</v>
      </c>
      <c r="J91" s="53"/>
      <c r="K91" s="53">
        <f>F91-(-0.27)</f>
        <v>0.85</v>
      </c>
      <c r="L91" s="53">
        <f>F91/(-0.27)*100</f>
        <v>-214.81481481481478</v>
      </c>
      <c r="M91" s="35">
        <f>E91-березень!E97</f>
        <v>0</v>
      </c>
      <c r="N91" s="35">
        <f>F91-березень!F97</f>
        <v>0</v>
      </c>
      <c r="O91" s="47">
        <f>N91-M91</f>
        <v>0</v>
      </c>
      <c r="P91" s="53"/>
      <c r="Q91" s="53">
        <f>N91-(-0.21)</f>
        <v>0.21</v>
      </c>
      <c r="R91" s="129"/>
    </row>
    <row r="92" spans="2:18" ht="31.5">
      <c r="B92" s="32" t="s">
        <v>134</v>
      </c>
      <c r="C92" s="97"/>
      <c r="D92" s="33">
        <f>D88+D91+D90</f>
        <v>54</v>
      </c>
      <c r="E92" s="33">
        <f>E88+E91+E90</f>
        <v>19</v>
      </c>
      <c r="F92" s="145">
        <f>F88+F91+F90</f>
        <v>0.58</v>
      </c>
      <c r="G92" s="55">
        <f>F92-E92</f>
        <v>-18.42</v>
      </c>
      <c r="H92" s="65"/>
      <c r="I92" s="54">
        <f>F92-D92</f>
        <v>-53.42</v>
      </c>
      <c r="J92" s="54">
        <f>F92/D92*100</f>
        <v>1.074074074074074</v>
      </c>
      <c r="K92" s="54">
        <f>F92-27.14</f>
        <v>-26.560000000000002</v>
      </c>
      <c r="L92" s="54">
        <f>F92/27.14*100</f>
        <v>2.1370670596904935</v>
      </c>
      <c r="M92" s="55">
        <f>M88+M91+M90</f>
        <v>15</v>
      </c>
      <c r="N92" s="55">
        <f>N88+N91+N90</f>
        <v>0</v>
      </c>
      <c r="O92" s="54">
        <f>N92-M92</f>
        <v>-15</v>
      </c>
      <c r="P92" s="54"/>
      <c r="Q92" s="54">
        <f>N92-26.38</f>
        <v>-26.38</v>
      </c>
      <c r="R92" s="128">
        <f>N92/26.38</f>
        <v>0</v>
      </c>
    </row>
    <row r="93" spans="2:18" ht="31.5">
      <c r="B93" s="14" t="s">
        <v>125</v>
      </c>
      <c r="C93" s="59">
        <v>24110900</v>
      </c>
      <c r="D93" s="167">
        <v>42</v>
      </c>
      <c r="E93" s="28">
        <v>12.79</v>
      </c>
      <c r="F93" s="146">
        <v>13.02</v>
      </c>
      <c r="G93" s="43">
        <f>F93-E93</f>
        <v>0.23000000000000043</v>
      </c>
      <c r="H93" s="35">
        <f>F93/E93*100</f>
        <v>101.79827990617672</v>
      </c>
      <c r="I93" s="53">
        <f>F93-D93</f>
        <v>-28.98</v>
      </c>
      <c r="J93" s="53">
        <f>F93/D93*100</f>
        <v>31</v>
      </c>
      <c r="K93" s="53">
        <f>F93-12.19</f>
        <v>0.8300000000000001</v>
      </c>
      <c r="L93" s="53">
        <f>F93/12.19*100</f>
        <v>106.80885972108285</v>
      </c>
      <c r="M93" s="35">
        <f>E93-березень!E99</f>
        <v>1.1999999999999993</v>
      </c>
      <c r="N93" s="35">
        <f>F93-березень!F99</f>
        <v>0.07000000000000028</v>
      </c>
      <c r="O93" s="47">
        <f>N93-M93</f>
        <v>-1.129999999999999</v>
      </c>
      <c r="P93" s="53">
        <f>N93/M93*100</f>
        <v>5.833333333333361</v>
      </c>
      <c r="Q93" s="53">
        <f>N93-0.45</f>
        <v>-0.3799999999999997</v>
      </c>
      <c r="R93" s="129">
        <f>N93/0.45</f>
        <v>0.1555555555555562</v>
      </c>
    </row>
    <row r="94" spans="2:18" ht="23.25" customHeight="1">
      <c r="B94" s="17" t="s">
        <v>114</v>
      </c>
      <c r="C94" s="88"/>
      <c r="D94" s="27">
        <f>D82+D93+D87+D92</f>
        <v>17172</v>
      </c>
      <c r="E94" s="27">
        <f>E82+E93+E87+E92</f>
        <v>2045.07</v>
      </c>
      <c r="F94" s="27">
        <f>F82+F93+F87+F92</f>
        <v>1778.28</v>
      </c>
      <c r="G94" s="44">
        <f>F94-E94</f>
        <v>-266.78999999999996</v>
      </c>
      <c r="H94" s="45">
        <f>F94/E94*100</f>
        <v>86.95448077571916</v>
      </c>
      <c r="I94" s="31">
        <f>F94-D94</f>
        <v>-15393.72</v>
      </c>
      <c r="J94" s="31">
        <f>F94/D94*100</f>
        <v>10.35569531795947</v>
      </c>
      <c r="K94" s="31">
        <f>K82+K87+K92+K93</f>
        <v>-1649.6100000000001</v>
      </c>
      <c r="L94" s="31"/>
      <c r="M94" s="27">
        <f>M82+M93+M87+M92</f>
        <v>1195.1499999999999</v>
      </c>
      <c r="N94" s="27">
        <f>N82+N93+N87+N92</f>
        <v>325.0900000000001</v>
      </c>
      <c r="O94" s="31">
        <f>N94-M94</f>
        <v>-870.0599999999997</v>
      </c>
      <c r="P94" s="31">
        <f>N94/M94*100</f>
        <v>27.200769777852162</v>
      </c>
      <c r="Q94" s="31">
        <f>N94-8104.96</f>
        <v>-7779.87</v>
      </c>
      <c r="R94" s="127">
        <f>N94/8104.96</f>
        <v>0.040110006711939365</v>
      </c>
    </row>
    <row r="95" spans="2:18" ht="18.75">
      <c r="B95" s="24" t="s">
        <v>115</v>
      </c>
      <c r="C95" s="88"/>
      <c r="D95" s="27">
        <f>D75+D94</f>
        <v>547194.6</v>
      </c>
      <c r="E95" s="27">
        <f>E75+E94</f>
        <v>183536.9</v>
      </c>
      <c r="F95" s="27">
        <f>F75+F94</f>
        <v>170075.18999999997</v>
      </c>
      <c r="G95" s="44">
        <f>F95-E95</f>
        <v>-13461.710000000021</v>
      </c>
      <c r="H95" s="45">
        <f>F95/E95*100</f>
        <v>92.66539317161833</v>
      </c>
      <c r="I95" s="31">
        <f>F95-D95</f>
        <v>-377119.41000000003</v>
      </c>
      <c r="J95" s="31">
        <f>F95/D95*100</f>
        <v>31.08129904790727</v>
      </c>
      <c r="K95" s="31">
        <f>K75+K94</f>
        <v>10805.859999999997</v>
      </c>
      <c r="L95" s="31"/>
      <c r="M95" s="18">
        <f>M75+M94</f>
        <v>43986.2</v>
      </c>
      <c r="N95" s="18">
        <f>N75+N94</f>
        <v>21483.819999999996</v>
      </c>
      <c r="O95" s="31">
        <f>N95-M95</f>
        <v>-22502.38</v>
      </c>
      <c r="P95" s="31">
        <f>N95/M95*100</f>
        <v>48.84218232081879</v>
      </c>
      <c r="Q95" s="31">
        <f>N95-42872.96</f>
        <v>-21389.140000000003</v>
      </c>
      <c r="R95" s="127">
        <f>N95/42872.96</f>
        <v>0.5011041924793622</v>
      </c>
    </row>
    <row r="96" spans="2:14" ht="15.75">
      <c r="B96" s="23" t="s">
        <v>117</v>
      </c>
      <c r="N96" s="29"/>
    </row>
    <row r="97" spans="2:4" ht="15.75">
      <c r="B97" s="4" t="s">
        <v>119</v>
      </c>
      <c r="C97" s="101">
        <v>11</v>
      </c>
      <c r="D97" s="4" t="s">
        <v>118</v>
      </c>
    </row>
    <row r="98" spans="2:17" ht="31.5">
      <c r="B98" s="71" t="s">
        <v>154</v>
      </c>
      <c r="C98" s="34">
        <f>IF(O75&lt;0,ABS(O75/C97),0)</f>
        <v>1966.5745454545454</v>
      </c>
      <c r="D98" s="4" t="s">
        <v>104</v>
      </c>
      <c r="G98" s="201"/>
      <c r="H98" s="201"/>
      <c r="I98" s="201"/>
      <c r="J98" s="201"/>
      <c r="K98" s="115"/>
      <c r="L98" s="115"/>
      <c r="P98" s="29"/>
      <c r="Q98" s="29"/>
    </row>
    <row r="99" spans="2:15" ht="34.5" customHeight="1">
      <c r="B99" s="72" t="s">
        <v>159</v>
      </c>
      <c r="C99" s="111">
        <v>42109</v>
      </c>
      <c r="D99" s="34">
        <v>3994.9</v>
      </c>
      <c r="N99" s="196"/>
      <c r="O99" s="196"/>
    </row>
    <row r="100" spans="3:15" ht="15.75">
      <c r="C100" s="111">
        <v>42108</v>
      </c>
      <c r="D100" s="34">
        <v>1565.5</v>
      </c>
      <c r="F100" s="155" t="s">
        <v>166</v>
      </c>
      <c r="G100" s="187"/>
      <c r="H100" s="187"/>
      <c r="I100" s="177"/>
      <c r="J100" s="194"/>
      <c r="K100" s="194"/>
      <c r="L100" s="194"/>
      <c r="M100" s="194"/>
      <c r="N100" s="196"/>
      <c r="O100" s="196"/>
    </row>
    <row r="101" spans="3:15" ht="15.75" customHeight="1">
      <c r="C101" s="111">
        <v>42104</v>
      </c>
      <c r="D101" s="34">
        <v>1277.3</v>
      </c>
      <c r="G101" s="193" t="s">
        <v>151</v>
      </c>
      <c r="H101" s="193"/>
      <c r="I101" s="106">
        <v>8909.73221</v>
      </c>
      <c r="J101" s="195"/>
      <c r="K101" s="195"/>
      <c r="L101" s="195"/>
      <c r="M101" s="195"/>
      <c r="N101" s="196"/>
      <c r="O101" s="196"/>
    </row>
    <row r="102" spans="7:13" ht="15.75" customHeight="1">
      <c r="G102" s="197" t="s">
        <v>234</v>
      </c>
      <c r="H102" s="198"/>
      <c r="I102" s="103">
        <v>0</v>
      </c>
      <c r="J102" s="194"/>
      <c r="K102" s="194"/>
      <c r="L102" s="194"/>
      <c r="M102" s="194"/>
    </row>
    <row r="103" spans="2:13" ht="18.75" customHeight="1">
      <c r="B103" s="191" t="s">
        <v>160</v>
      </c>
      <c r="C103" s="192"/>
      <c r="D103" s="108">
        <v>146877.89575999998</v>
      </c>
      <c r="E103" s="73"/>
      <c r="F103" s="156" t="s">
        <v>147</v>
      </c>
      <c r="G103" s="193" t="s">
        <v>149</v>
      </c>
      <c r="H103" s="193"/>
      <c r="I103" s="107">
        <v>137968.16354999997</v>
      </c>
      <c r="J103" s="194"/>
      <c r="K103" s="194"/>
      <c r="L103" s="194"/>
      <c r="M103" s="194"/>
    </row>
    <row r="104" spans="7:12" ht="9.75" customHeight="1">
      <c r="G104" s="187"/>
      <c r="H104" s="187"/>
      <c r="I104" s="90"/>
      <c r="J104" s="91"/>
      <c r="K104" s="91"/>
      <c r="L104" s="91"/>
    </row>
    <row r="105" spans="2:12" ht="22.5" customHeight="1" hidden="1">
      <c r="B105" s="188" t="s">
        <v>167</v>
      </c>
      <c r="C105" s="189"/>
      <c r="D105" s="110">
        <v>0</v>
      </c>
      <c r="E105" s="70" t="s">
        <v>104</v>
      </c>
      <c r="G105" s="187"/>
      <c r="H105" s="187"/>
      <c r="I105" s="90"/>
      <c r="J105" s="91"/>
      <c r="K105" s="91"/>
      <c r="L105" s="91"/>
    </row>
    <row r="106" spans="4:15" ht="15.75">
      <c r="D106" s="105"/>
      <c r="N106" s="187"/>
      <c r="O106" s="187"/>
    </row>
    <row r="107" spans="4:15" ht="15.75">
      <c r="D107" s="104"/>
      <c r="I107" s="34"/>
      <c r="N107" s="190"/>
      <c r="O107" s="190"/>
    </row>
    <row r="108" spans="14:15" ht="15.75">
      <c r="N108" s="187"/>
      <c r="O108" s="187"/>
    </row>
    <row r="112" ht="15.75">
      <c r="E11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98:J98"/>
    <mergeCell ref="N99:O99"/>
    <mergeCell ref="G100:H100"/>
    <mergeCell ref="J100:M100"/>
    <mergeCell ref="N100:O100"/>
    <mergeCell ref="J4:J5"/>
    <mergeCell ref="N4:N5"/>
    <mergeCell ref="O4:O5"/>
    <mergeCell ref="P4:P5"/>
    <mergeCell ref="G101:H101"/>
    <mergeCell ref="J101:M101"/>
    <mergeCell ref="N101:O101"/>
    <mergeCell ref="G102:H102"/>
    <mergeCell ref="J102:M102"/>
    <mergeCell ref="B103:C103"/>
    <mergeCell ref="G103:H103"/>
    <mergeCell ref="J103:M103"/>
    <mergeCell ref="G104:H104"/>
    <mergeCell ref="N108:O108"/>
    <mergeCell ref="B105:C105"/>
    <mergeCell ref="G105:H105"/>
    <mergeCell ref="N106:O106"/>
    <mergeCell ref="N107:O107"/>
  </mergeCells>
  <printOptions/>
  <pageMargins left="0.15" right="0.18" top="0.36" bottom="0.34" header="0.24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5" t="s">
        <v>235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17"/>
      <c r="R1" s="118"/>
    </row>
    <row r="2" spans="2:18" s="1" customFormat="1" ht="15.75" customHeight="1">
      <c r="B2" s="216"/>
      <c r="C2" s="216"/>
      <c r="D2" s="21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4"/>
      <c r="B3" s="182"/>
      <c r="C3" s="183" t="s">
        <v>0</v>
      </c>
      <c r="D3" s="217" t="s">
        <v>216</v>
      </c>
      <c r="E3" s="40"/>
      <c r="F3" s="218" t="s">
        <v>107</v>
      </c>
      <c r="G3" s="219"/>
      <c r="H3" s="219"/>
      <c r="I3" s="219"/>
      <c r="J3" s="220"/>
      <c r="K3" s="114"/>
      <c r="L3" s="114"/>
      <c r="M3" s="221" t="s">
        <v>231</v>
      </c>
      <c r="N3" s="222" t="s">
        <v>232</v>
      </c>
      <c r="O3" s="222"/>
      <c r="P3" s="222"/>
      <c r="Q3" s="222"/>
      <c r="R3" s="222"/>
    </row>
    <row r="4" spans="1:18" ht="22.5" customHeight="1">
      <c r="A4" s="184"/>
      <c r="B4" s="182"/>
      <c r="C4" s="183"/>
      <c r="D4" s="217"/>
      <c r="E4" s="223" t="s">
        <v>228</v>
      </c>
      <c r="F4" s="209" t="s">
        <v>116</v>
      </c>
      <c r="G4" s="211" t="s">
        <v>229</v>
      </c>
      <c r="H4" s="213" t="s">
        <v>230</v>
      </c>
      <c r="I4" s="206" t="s">
        <v>217</v>
      </c>
      <c r="J4" s="202" t="s">
        <v>218</v>
      </c>
      <c r="K4" s="116" t="s">
        <v>172</v>
      </c>
      <c r="L4" s="121" t="s">
        <v>171</v>
      </c>
      <c r="M4" s="202"/>
      <c r="N4" s="204" t="s">
        <v>236</v>
      </c>
      <c r="O4" s="206" t="s">
        <v>136</v>
      </c>
      <c r="P4" s="208" t="s">
        <v>135</v>
      </c>
      <c r="Q4" s="122" t="s">
        <v>172</v>
      </c>
      <c r="R4" s="123" t="s">
        <v>171</v>
      </c>
    </row>
    <row r="5" spans="1:19" ht="92.25" customHeight="1">
      <c r="A5" s="185"/>
      <c r="B5" s="182"/>
      <c r="C5" s="183"/>
      <c r="D5" s="217"/>
      <c r="E5" s="224"/>
      <c r="F5" s="210"/>
      <c r="G5" s="212"/>
      <c r="H5" s="214"/>
      <c r="I5" s="207"/>
      <c r="J5" s="203"/>
      <c r="K5" s="199" t="s">
        <v>233</v>
      </c>
      <c r="L5" s="200"/>
      <c r="M5" s="203"/>
      <c r="N5" s="205"/>
      <c r="O5" s="207"/>
      <c r="P5" s="208"/>
      <c r="Q5" s="199" t="s">
        <v>176</v>
      </c>
      <c r="R5" s="20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1"/>
      <c r="H104" s="201"/>
      <c r="I104" s="201"/>
      <c r="J104" s="20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6"/>
      <c r="O105" s="196"/>
    </row>
    <row r="106" spans="3:15" ht="15.75">
      <c r="C106" s="111">
        <v>42093</v>
      </c>
      <c r="D106" s="34">
        <v>8025</v>
      </c>
      <c r="F106" s="155" t="s">
        <v>166</v>
      </c>
      <c r="G106" s="187"/>
      <c r="H106" s="187"/>
      <c r="I106" s="177"/>
      <c r="J106" s="194"/>
      <c r="K106" s="194"/>
      <c r="L106" s="194"/>
      <c r="M106" s="194"/>
      <c r="N106" s="196"/>
      <c r="O106" s="196"/>
    </row>
    <row r="107" spans="3:15" ht="15.75" customHeight="1">
      <c r="C107" s="111">
        <v>42090</v>
      </c>
      <c r="D107" s="34">
        <v>4282.6</v>
      </c>
      <c r="G107" s="193" t="s">
        <v>151</v>
      </c>
      <c r="H107" s="193"/>
      <c r="I107" s="106">
        <f>8909732.21/1000</f>
        <v>8909.73221</v>
      </c>
      <c r="J107" s="195"/>
      <c r="K107" s="195"/>
      <c r="L107" s="195"/>
      <c r="M107" s="195"/>
      <c r="N107" s="196"/>
      <c r="O107" s="196"/>
    </row>
    <row r="108" spans="7:13" ht="15.75" customHeight="1">
      <c r="G108" s="197" t="s">
        <v>234</v>
      </c>
      <c r="H108" s="198"/>
      <c r="I108" s="103">
        <v>0</v>
      </c>
      <c r="J108" s="194"/>
      <c r="K108" s="194"/>
      <c r="L108" s="194"/>
      <c r="M108" s="194"/>
    </row>
    <row r="109" spans="2:13" ht="18.75" customHeight="1">
      <c r="B109" s="191" t="s">
        <v>160</v>
      </c>
      <c r="C109" s="192"/>
      <c r="D109" s="108">
        <f>147433239.77/1000</f>
        <v>147433.23977000001</v>
      </c>
      <c r="E109" s="73"/>
      <c r="F109" s="156" t="s">
        <v>147</v>
      </c>
      <c r="G109" s="193" t="s">
        <v>149</v>
      </c>
      <c r="H109" s="193"/>
      <c r="I109" s="107">
        <f>138523507.56/1000</f>
        <v>138523.50756</v>
      </c>
      <c r="J109" s="194"/>
      <c r="K109" s="194"/>
      <c r="L109" s="194"/>
      <c r="M109" s="194"/>
    </row>
    <row r="110" spans="7:12" ht="9.75" customHeight="1">
      <c r="G110" s="187"/>
      <c r="H110" s="187"/>
      <c r="I110" s="90"/>
      <c r="J110" s="91"/>
      <c r="K110" s="91"/>
      <c r="L110" s="91"/>
    </row>
    <row r="111" spans="2:12" ht="22.5" customHeight="1" hidden="1">
      <c r="B111" s="188" t="s">
        <v>167</v>
      </c>
      <c r="C111" s="189"/>
      <c r="D111" s="110">
        <v>0</v>
      </c>
      <c r="E111" s="70" t="s">
        <v>104</v>
      </c>
      <c r="G111" s="187"/>
      <c r="H111" s="187"/>
      <c r="I111" s="90"/>
      <c r="J111" s="91"/>
      <c r="K111" s="91"/>
      <c r="L111" s="91"/>
    </row>
    <row r="112" spans="4:15" ht="15.75">
      <c r="D112" s="105"/>
      <c r="N112" s="187"/>
      <c r="O112" s="187"/>
    </row>
    <row r="113" spans="4:15" ht="15.75">
      <c r="D113" s="104"/>
      <c r="I113" s="34"/>
      <c r="N113" s="190"/>
      <c r="O113" s="190"/>
    </row>
    <row r="114" spans="14:15" ht="15.75">
      <c r="N114" s="187"/>
      <c r="O114" s="187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5" t="s">
        <v>227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17"/>
      <c r="R1" s="118"/>
    </row>
    <row r="2" spans="2:18" s="1" customFormat="1" ht="15.75" customHeight="1">
      <c r="B2" s="216"/>
      <c r="C2" s="216"/>
      <c r="D2" s="21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4"/>
      <c r="B3" s="182" t="s">
        <v>205</v>
      </c>
      <c r="C3" s="183" t="s">
        <v>0</v>
      </c>
      <c r="D3" s="217" t="s">
        <v>216</v>
      </c>
      <c r="E3" s="40"/>
      <c r="F3" s="218" t="s">
        <v>107</v>
      </c>
      <c r="G3" s="219"/>
      <c r="H3" s="219"/>
      <c r="I3" s="219"/>
      <c r="J3" s="220"/>
      <c r="K3" s="114"/>
      <c r="L3" s="114"/>
      <c r="M3" s="221" t="s">
        <v>221</v>
      </c>
      <c r="N3" s="222" t="s">
        <v>202</v>
      </c>
      <c r="O3" s="222"/>
      <c r="P3" s="222"/>
      <c r="Q3" s="222"/>
      <c r="R3" s="222"/>
    </row>
    <row r="4" spans="1:18" ht="22.5" customHeight="1">
      <c r="A4" s="184"/>
      <c r="B4" s="182"/>
      <c r="C4" s="183"/>
      <c r="D4" s="217"/>
      <c r="E4" s="223" t="s">
        <v>199</v>
      </c>
      <c r="F4" s="209" t="s">
        <v>116</v>
      </c>
      <c r="G4" s="211" t="s">
        <v>200</v>
      </c>
      <c r="H4" s="213" t="s">
        <v>201</v>
      </c>
      <c r="I4" s="206" t="s">
        <v>217</v>
      </c>
      <c r="J4" s="202" t="s">
        <v>218</v>
      </c>
      <c r="K4" s="116" t="s">
        <v>172</v>
      </c>
      <c r="L4" s="121" t="s">
        <v>171</v>
      </c>
      <c r="M4" s="202"/>
      <c r="N4" s="204" t="s">
        <v>226</v>
      </c>
      <c r="O4" s="206" t="s">
        <v>136</v>
      </c>
      <c r="P4" s="208" t="s">
        <v>135</v>
      </c>
      <c r="Q4" s="122" t="s">
        <v>172</v>
      </c>
      <c r="R4" s="123" t="s">
        <v>171</v>
      </c>
    </row>
    <row r="5" spans="1:19" ht="92.25" customHeight="1">
      <c r="A5" s="185"/>
      <c r="B5" s="182"/>
      <c r="C5" s="183"/>
      <c r="D5" s="217"/>
      <c r="E5" s="224"/>
      <c r="F5" s="210"/>
      <c r="G5" s="212"/>
      <c r="H5" s="214"/>
      <c r="I5" s="207"/>
      <c r="J5" s="203"/>
      <c r="K5" s="199" t="s">
        <v>224</v>
      </c>
      <c r="L5" s="200"/>
      <c r="M5" s="203"/>
      <c r="N5" s="205"/>
      <c r="O5" s="207"/>
      <c r="P5" s="208"/>
      <c r="Q5" s="199" t="s">
        <v>176</v>
      </c>
      <c r="R5" s="20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1"/>
      <c r="H104" s="201"/>
      <c r="I104" s="201"/>
      <c r="J104" s="20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6"/>
      <c r="O105" s="196"/>
    </row>
    <row r="106" spans="3:15" ht="15.75">
      <c r="C106" s="111">
        <v>42061</v>
      </c>
      <c r="D106" s="34">
        <v>6003.3</v>
      </c>
      <c r="F106" s="155" t="s">
        <v>166</v>
      </c>
      <c r="G106" s="187"/>
      <c r="H106" s="187"/>
      <c r="I106" s="177"/>
      <c r="J106" s="194"/>
      <c r="K106" s="194"/>
      <c r="L106" s="194"/>
      <c r="M106" s="194"/>
      <c r="N106" s="196"/>
      <c r="O106" s="196"/>
    </row>
    <row r="107" spans="3:15" ht="15.75" customHeight="1">
      <c r="C107" s="111">
        <v>42060</v>
      </c>
      <c r="D107" s="34">
        <v>1551.3</v>
      </c>
      <c r="G107" s="193" t="s">
        <v>151</v>
      </c>
      <c r="H107" s="193"/>
      <c r="I107" s="106">
        <v>8909.73221</v>
      </c>
      <c r="J107" s="195"/>
      <c r="K107" s="195"/>
      <c r="L107" s="195"/>
      <c r="M107" s="195"/>
      <c r="N107" s="196"/>
      <c r="O107" s="196"/>
    </row>
    <row r="108" spans="7:13" ht="15.75" customHeight="1">
      <c r="G108" s="225" t="s">
        <v>155</v>
      </c>
      <c r="H108" s="225"/>
      <c r="I108" s="103">
        <v>0</v>
      </c>
      <c r="J108" s="194"/>
      <c r="K108" s="194"/>
      <c r="L108" s="194"/>
      <c r="M108" s="194"/>
    </row>
    <row r="109" spans="2:13" ht="18.75" customHeight="1">
      <c r="B109" s="191" t="s">
        <v>160</v>
      </c>
      <c r="C109" s="192"/>
      <c r="D109" s="108">
        <f>138305956.27/1000</f>
        <v>138305.95627000002</v>
      </c>
      <c r="E109" s="73"/>
      <c r="F109" s="156" t="s">
        <v>147</v>
      </c>
      <c r="G109" s="193" t="s">
        <v>149</v>
      </c>
      <c r="H109" s="193"/>
      <c r="I109" s="107">
        <v>129396.23</v>
      </c>
      <c r="J109" s="194"/>
      <c r="K109" s="194"/>
      <c r="L109" s="194"/>
      <c r="M109" s="194"/>
    </row>
    <row r="110" spans="7:12" ht="9.75" customHeight="1">
      <c r="G110" s="187"/>
      <c r="H110" s="187"/>
      <c r="I110" s="90"/>
      <c r="J110" s="91"/>
      <c r="K110" s="91"/>
      <c r="L110" s="91"/>
    </row>
    <row r="111" spans="2:12" ht="22.5" customHeight="1" hidden="1">
      <c r="B111" s="188" t="s">
        <v>167</v>
      </c>
      <c r="C111" s="189"/>
      <c r="D111" s="110">
        <v>0</v>
      </c>
      <c r="E111" s="70" t="s">
        <v>104</v>
      </c>
      <c r="G111" s="187"/>
      <c r="H111" s="187"/>
      <c r="I111" s="90"/>
      <c r="J111" s="91"/>
      <c r="K111" s="91"/>
      <c r="L111" s="91"/>
    </row>
    <row r="112" spans="4:15" ht="15.75">
      <c r="D112" s="105"/>
      <c r="N112" s="187"/>
      <c r="O112" s="187"/>
    </row>
    <row r="113" spans="4:15" ht="15.75">
      <c r="D113" s="104"/>
      <c r="I113" s="34"/>
      <c r="N113" s="190"/>
      <c r="O113" s="190"/>
    </row>
    <row r="114" spans="14:15" ht="15.75">
      <c r="N114" s="187"/>
      <c r="O114" s="187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5" t="s">
        <v>193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17"/>
      <c r="R1" s="118"/>
    </row>
    <row r="2" spans="2:18" s="1" customFormat="1" ht="15.75" customHeight="1">
      <c r="B2" s="216"/>
      <c r="C2" s="216"/>
      <c r="D2" s="21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4"/>
      <c r="B3" s="182" t="s">
        <v>205</v>
      </c>
      <c r="C3" s="183" t="s">
        <v>0</v>
      </c>
      <c r="D3" s="217" t="s">
        <v>216</v>
      </c>
      <c r="E3" s="40"/>
      <c r="F3" s="218" t="s">
        <v>107</v>
      </c>
      <c r="G3" s="219"/>
      <c r="H3" s="219"/>
      <c r="I3" s="219"/>
      <c r="J3" s="220"/>
      <c r="K3" s="114"/>
      <c r="L3" s="114"/>
      <c r="M3" s="221" t="s">
        <v>220</v>
      </c>
      <c r="N3" s="222" t="s">
        <v>175</v>
      </c>
      <c r="O3" s="222"/>
      <c r="P3" s="222"/>
      <c r="Q3" s="222"/>
      <c r="R3" s="222"/>
    </row>
    <row r="4" spans="1:18" ht="22.5" customHeight="1">
      <c r="A4" s="184"/>
      <c r="B4" s="182"/>
      <c r="C4" s="183"/>
      <c r="D4" s="217"/>
      <c r="E4" s="223" t="s">
        <v>219</v>
      </c>
      <c r="F4" s="209" t="s">
        <v>116</v>
      </c>
      <c r="G4" s="211" t="s">
        <v>173</v>
      </c>
      <c r="H4" s="226" t="s">
        <v>174</v>
      </c>
      <c r="I4" s="228" t="s">
        <v>217</v>
      </c>
      <c r="J4" s="231" t="s">
        <v>218</v>
      </c>
      <c r="K4" s="116" t="s">
        <v>172</v>
      </c>
      <c r="L4" s="121" t="s">
        <v>171</v>
      </c>
      <c r="M4" s="202"/>
      <c r="N4" s="204" t="s">
        <v>194</v>
      </c>
      <c r="O4" s="228" t="s">
        <v>136</v>
      </c>
      <c r="P4" s="222" t="s">
        <v>135</v>
      </c>
      <c r="Q4" s="122" t="s">
        <v>172</v>
      </c>
      <c r="R4" s="123" t="s">
        <v>171</v>
      </c>
    </row>
    <row r="5" spans="1:19" ht="92.25" customHeight="1">
      <c r="A5" s="185"/>
      <c r="B5" s="182"/>
      <c r="C5" s="183"/>
      <c r="D5" s="217"/>
      <c r="E5" s="224"/>
      <c r="F5" s="210"/>
      <c r="G5" s="212"/>
      <c r="H5" s="227"/>
      <c r="I5" s="229"/>
      <c r="J5" s="232"/>
      <c r="K5" s="199" t="s">
        <v>188</v>
      </c>
      <c r="L5" s="200"/>
      <c r="M5" s="203"/>
      <c r="N5" s="205"/>
      <c r="O5" s="229"/>
      <c r="P5" s="222"/>
      <c r="Q5" s="199" t="s">
        <v>176</v>
      </c>
      <c r="R5" s="20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1"/>
      <c r="H102" s="201"/>
      <c r="I102" s="201"/>
      <c r="J102" s="20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6"/>
      <c r="O103" s="196"/>
    </row>
    <row r="104" spans="3:15" ht="15.75">
      <c r="C104" s="111">
        <v>42033</v>
      </c>
      <c r="D104" s="34">
        <v>2896.5</v>
      </c>
      <c r="F104" s="155" t="s">
        <v>166</v>
      </c>
      <c r="G104" s="193" t="s">
        <v>151</v>
      </c>
      <c r="H104" s="193"/>
      <c r="I104" s="106">
        <f>'січень '!I139</f>
        <v>8909.733</v>
      </c>
      <c r="J104" s="230" t="s">
        <v>161</v>
      </c>
      <c r="K104" s="230"/>
      <c r="L104" s="230"/>
      <c r="M104" s="230"/>
      <c r="N104" s="196"/>
      <c r="O104" s="196"/>
    </row>
    <row r="105" spans="3:15" ht="15.75">
      <c r="C105" s="111">
        <v>42032</v>
      </c>
      <c r="D105" s="34">
        <v>2838.1</v>
      </c>
      <c r="G105" s="225" t="s">
        <v>155</v>
      </c>
      <c r="H105" s="225"/>
      <c r="I105" s="103">
        <f>'січень '!I140</f>
        <v>0</v>
      </c>
      <c r="J105" s="233" t="s">
        <v>162</v>
      </c>
      <c r="K105" s="233"/>
      <c r="L105" s="233"/>
      <c r="M105" s="233"/>
      <c r="N105" s="196"/>
      <c r="O105" s="196"/>
    </row>
    <row r="106" spans="7:13" ht="15.75" customHeight="1">
      <c r="G106" s="193" t="s">
        <v>148</v>
      </c>
      <c r="H106" s="193"/>
      <c r="I106" s="103">
        <f>'січень '!I141</f>
        <v>0</v>
      </c>
      <c r="J106" s="230" t="s">
        <v>163</v>
      </c>
      <c r="K106" s="230"/>
      <c r="L106" s="230"/>
      <c r="M106" s="230"/>
    </row>
    <row r="107" spans="2:13" ht="18.75" customHeight="1">
      <c r="B107" s="191" t="s">
        <v>160</v>
      </c>
      <c r="C107" s="192"/>
      <c r="D107" s="108">
        <f>'січень '!D142</f>
        <v>132375.63</v>
      </c>
      <c r="E107" s="73"/>
      <c r="F107" s="156" t="s">
        <v>147</v>
      </c>
      <c r="G107" s="193" t="s">
        <v>149</v>
      </c>
      <c r="H107" s="193"/>
      <c r="I107" s="107">
        <f>'січень '!I142</f>
        <v>123465.893</v>
      </c>
      <c r="J107" s="230" t="s">
        <v>164</v>
      </c>
      <c r="K107" s="230"/>
      <c r="L107" s="230"/>
      <c r="M107" s="230"/>
    </row>
    <row r="108" spans="7:12" ht="9.75" customHeight="1">
      <c r="G108" s="187"/>
      <c r="H108" s="187"/>
      <c r="I108" s="90"/>
      <c r="J108" s="91"/>
      <c r="K108" s="91"/>
      <c r="L108" s="91"/>
    </row>
    <row r="109" spans="2:12" ht="22.5" customHeight="1" hidden="1">
      <c r="B109" s="188" t="s">
        <v>167</v>
      </c>
      <c r="C109" s="189"/>
      <c r="D109" s="110">
        <v>0</v>
      </c>
      <c r="E109" s="70" t="s">
        <v>104</v>
      </c>
      <c r="G109" s="187"/>
      <c r="H109" s="187"/>
      <c r="I109" s="90"/>
      <c r="J109" s="91"/>
      <c r="K109" s="91"/>
      <c r="L109" s="91"/>
    </row>
    <row r="110" spans="4:15" ht="15.75">
      <c r="D110" s="105"/>
      <c r="N110" s="187"/>
      <c r="O110" s="187"/>
    </row>
    <row r="111" spans="4:15" ht="15.75">
      <c r="D111" s="104"/>
      <c r="I111" s="34"/>
      <c r="N111" s="190"/>
      <c r="O111" s="190"/>
    </row>
    <row r="112" spans="14:15" ht="15.75">
      <c r="N112" s="187"/>
      <c r="O112" s="187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5" t="s">
        <v>193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17"/>
      <c r="R1" s="118"/>
    </row>
    <row r="2" spans="2:18" s="1" customFormat="1" ht="15.75" customHeight="1">
      <c r="B2" s="216"/>
      <c r="C2" s="216"/>
      <c r="D2" s="21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4"/>
      <c r="B3" s="182" t="s">
        <v>203</v>
      </c>
      <c r="C3" s="183" t="s">
        <v>0</v>
      </c>
      <c r="D3" s="217" t="s">
        <v>190</v>
      </c>
      <c r="E3" s="40"/>
      <c r="F3" s="218" t="s">
        <v>107</v>
      </c>
      <c r="G3" s="219"/>
      <c r="H3" s="219"/>
      <c r="I3" s="219"/>
      <c r="J3" s="220"/>
      <c r="K3" s="114"/>
      <c r="L3" s="114"/>
      <c r="M3" s="221" t="s">
        <v>187</v>
      </c>
      <c r="N3" s="222" t="s">
        <v>175</v>
      </c>
      <c r="O3" s="222"/>
      <c r="P3" s="222"/>
      <c r="Q3" s="222"/>
      <c r="R3" s="222"/>
    </row>
    <row r="4" spans="1:18" ht="22.5" customHeight="1">
      <c r="A4" s="184"/>
      <c r="B4" s="182"/>
      <c r="C4" s="183"/>
      <c r="D4" s="217"/>
      <c r="E4" s="223" t="s">
        <v>153</v>
      </c>
      <c r="F4" s="209" t="s">
        <v>116</v>
      </c>
      <c r="G4" s="211" t="s">
        <v>173</v>
      </c>
      <c r="H4" s="226" t="s">
        <v>174</v>
      </c>
      <c r="I4" s="228" t="s">
        <v>186</v>
      </c>
      <c r="J4" s="231" t="s">
        <v>189</v>
      </c>
      <c r="K4" s="116" t="s">
        <v>172</v>
      </c>
      <c r="L4" s="121" t="s">
        <v>171</v>
      </c>
      <c r="M4" s="202"/>
      <c r="N4" s="204" t="s">
        <v>194</v>
      </c>
      <c r="O4" s="228" t="s">
        <v>136</v>
      </c>
      <c r="P4" s="222" t="s">
        <v>135</v>
      </c>
      <c r="Q4" s="122" t="s">
        <v>172</v>
      </c>
      <c r="R4" s="123" t="s">
        <v>171</v>
      </c>
    </row>
    <row r="5" spans="1:19" ht="92.25" customHeight="1">
      <c r="A5" s="185"/>
      <c r="B5" s="182"/>
      <c r="C5" s="183"/>
      <c r="D5" s="217"/>
      <c r="E5" s="224"/>
      <c r="F5" s="210"/>
      <c r="G5" s="212"/>
      <c r="H5" s="227"/>
      <c r="I5" s="229"/>
      <c r="J5" s="232"/>
      <c r="K5" s="199" t="s">
        <v>188</v>
      </c>
      <c r="L5" s="200"/>
      <c r="M5" s="203"/>
      <c r="N5" s="205"/>
      <c r="O5" s="229"/>
      <c r="P5" s="222"/>
      <c r="Q5" s="199" t="s">
        <v>176</v>
      </c>
      <c r="R5" s="200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1"/>
      <c r="H137" s="201"/>
      <c r="I137" s="201"/>
      <c r="J137" s="20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6"/>
      <c r="O138" s="196"/>
    </row>
    <row r="139" spans="3:15" ht="15.75">
      <c r="C139" s="111">
        <v>42033</v>
      </c>
      <c r="D139" s="34">
        <v>2896.5</v>
      </c>
      <c r="F139" s="155" t="s">
        <v>166</v>
      </c>
      <c r="G139" s="193" t="s">
        <v>151</v>
      </c>
      <c r="H139" s="193"/>
      <c r="I139" s="106">
        <f>8909.733</f>
        <v>8909.733</v>
      </c>
      <c r="J139" s="230" t="s">
        <v>161</v>
      </c>
      <c r="K139" s="230"/>
      <c r="L139" s="230"/>
      <c r="M139" s="230"/>
      <c r="N139" s="196"/>
      <c r="O139" s="196"/>
    </row>
    <row r="140" spans="3:15" ht="15.75">
      <c r="C140" s="111">
        <v>42032</v>
      </c>
      <c r="D140" s="34">
        <v>2838.1</v>
      </c>
      <c r="G140" s="225" t="s">
        <v>155</v>
      </c>
      <c r="H140" s="225"/>
      <c r="I140" s="103">
        <v>0</v>
      </c>
      <c r="J140" s="233" t="s">
        <v>162</v>
      </c>
      <c r="K140" s="233"/>
      <c r="L140" s="233"/>
      <c r="M140" s="233"/>
      <c r="N140" s="196"/>
      <c r="O140" s="196"/>
    </row>
    <row r="141" spans="7:13" ht="15.75" customHeight="1">
      <c r="G141" s="193" t="s">
        <v>148</v>
      </c>
      <c r="H141" s="193"/>
      <c r="I141" s="103">
        <v>0</v>
      </c>
      <c r="J141" s="230" t="s">
        <v>163</v>
      </c>
      <c r="K141" s="230"/>
      <c r="L141" s="230"/>
      <c r="M141" s="230"/>
    </row>
    <row r="142" spans="2:13" ht="18.75" customHeight="1">
      <c r="B142" s="191" t="s">
        <v>160</v>
      </c>
      <c r="C142" s="192"/>
      <c r="D142" s="108">
        <f>132375.63</f>
        <v>132375.63</v>
      </c>
      <c r="E142" s="73"/>
      <c r="F142" s="156" t="s">
        <v>147</v>
      </c>
      <c r="G142" s="193" t="s">
        <v>149</v>
      </c>
      <c r="H142" s="193"/>
      <c r="I142" s="107">
        <f>123465.893</f>
        <v>123465.893</v>
      </c>
      <c r="J142" s="230" t="s">
        <v>164</v>
      </c>
      <c r="K142" s="230"/>
      <c r="L142" s="230"/>
      <c r="M142" s="230"/>
    </row>
    <row r="143" spans="7:12" ht="9.75" customHeight="1">
      <c r="G143" s="187"/>
      <c r="H143" s="187"/>
      <c r="I143" s="90"/>
      <c r="J143" s="91"/>
      <c r="K143" s="91"/>
      <c r="L143" s="91"/>
    </row>
    <row r="144" spans="2:12" ht="22.5" customHeight="1" hidden="1">
      <c r="B144" s="188" t="s">
        <v>167</v>
      </c>
      <c r="C144" s="189"/>
      <c r="D144" s="110">
        <v>0</v>
      </c>
      <c r="E144" s="70" t="s">
        <v>104</v>
      </c>
      <c r="G144" s="187"/>
      <c r="H144" s="187"/>
      <c r="I144" s="90"/>
      <c r="J144" s="91"/>
      <c r="K144" s="91"/>
      <c r="L144" s="91"/>
    </row>
    <row r="145" spans="4:15" ht="15.75">
      <c r="D145" s="105"/>
      <c r="N145" s="187"/>
      <c r="O145" s="187"/>
    </row>
    <row r="146" spans="4:15" ht="15.75">
      <c r="D146" s="104"/>
      <c r="I146" s="34"/>
      <c r="N146" s="190"/>
      <c r="O146" s="190"/>
    </row>
    <row r="147" spans="14:15" ht="15.75">
      <c r="N147" s="187"/>
      <c r="O147" s="187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2015-04-16T11:48:09Z</cp:lastPrinted>
  <dcterms:created xsi:type="dcterms:W3CDTF">2003-07-28T11:27:56Z</dcterms:created>
  <dcterms:modified xsi:type="dcterms:W3CDTF">2015-04-16T12:06:09Z</dcterms:modified>
  <cp:category/>
  <cp:version/>
  <cp:contentType/>
  <cp:contentStatus/>
</cp:coreProperties>
</file>